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55" windowWidth="11940" windowHeight="6420" tabRatio="606" activeTab="0"/>
  </bookViews>
  <sheets>
    <sheet name="Income statement" sheetId="1" r:id="rId1"/>
    <sheet name="BS12.09" sheetId="2" state="hidden" r:id="rId2"/>
    <sheet name="balance sheet" sheetId="3" r:id="rId3"/>
    <sheet name="equity statement" sheetId="4" r:id="rId4"/>
    <sheet name="detail cashflow statem" sheetId="5" state="hidden" r:id="rId5"/>
    <sheet name="key info" sheetId="6" state="hidden" r:id="rId6"/>
    <sheet name="CF12.09" sheetId="7" state="hidden" r:id="rId7"/>
    <sheet name="cashflow" sheetId="8" r:id="rId8"/>
    <sheet name="cashflow.org" sheetId="9" state="hidden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>'cashflow.org'!$G$14:$G$16</definedName>
    <definedName name="_xlnm.Print_Area" localSheetId="8">'cashflow.org'!$B$1:$K$81</definedName>
    <definedName name="_xlnm.Print_Area" localSheetId="3">'equity statement'!$A$1:$J$39</definedName>
    <definedName name="_xlnm.Print_Area" localSheetId="0">'Income statement'!$A$1:$R$66</definedName>
  </definedNames>
  <calcPr fullCalcOnLoad="1"/>
</workbook>
</file>

<file path=xl/sharedStrings.xml><?xml version="1.0" encoding="utf-8"?>
<sst xmlns="http://schemas.openxmlformats.org/spreadsheetml/2006/main" count="497" uniqueCount="288">
  <si>
    <t>RM’000</t>
  </si>
  <si>
    <t>Revenue</t>
  </si>
  <si>
    <t>Profit before taxation</t>
  </si>
  <si>
    <t>RM'000</t>
  </si>
  <si>
    <t>Current Assets</t>
  </si>
  <si>
    <t>Share Capital</t>
  </si>
  <si>
    <t>Net tangible assets per share (RM)</t>
  </si>
  <si>
    <t>Adjustments for :</t>
  </si>
  <si>
    <t>Operating profit before working capital changes</t>
  </si>
  <si>
    <t>Interest paid</t>
  </si>
  <si>
    <t>Share Premium</t>
  </si>
  <si>
    <t>Retained Profits</t>
  </si>
  <si>
    <t>TO DATE</t>
  </si>
  <si>
    <t xml:space="preserve">CURRENT YEAR </t>
  </si>
  <si>
    <t xml:space="preserve">30/06/2002 </t>
  </si>
  <si>
    <t>30/06/2001</t>
  </si>
  <si>
    <t>30/06/2002</t>
  </si>
  <si>
    <t>SUMMARY OF KEY FINANCIAL INFORMATION</t>
  </si>
  <si>
    <t>INDIVIDUAL PERIOD</t>
  </si>
  <si>
    <t>CUMMULATIVE PERIOD</t>
  </si>
  <si>
    <t>CURRENT YEAR QUARTER</t>
  </si>
  <si>
    <t>PRECEDING YEAR CORRESPONDING QUARTER</t>
  </si>
  <si>
    <t>PRECEDING YEAR CORRESPONDING PERIOD</t>
  </si>
  <si>
    <t>CURRENT YEAR        TO DATE</t>
  </si>
  <si>
    <t>N/A</t>
  </si>
  <si>
    <t>PRECEDING YEAR</t>
  </si>
  <si>
    <t>CORRESPONDING</t>
  </si>
  <si>
    <t>AS AT END OF</t>
  </si>
  <si>
    <t>CURRENT QUARTER</t>
  </si>
  <si>
    <t>AS AT PRECEDING</t>
  </si>
  <si>
    <t>FINANCIAL YEAR END</t>
  </si>
  <si>
    <t>Cost of sales</t>
  </si>
  <si>
    <t>Gross profit</t>
  </si>
  <si>
    <t>Income tax expense</t>
  </si>
  <si>
    <t>ASSETS</t>
  </si>
  <si>
    <t>Non-current assets</t>
  </si>
  <si>
    <t>Total Assets</t>
  </si>
  <si>
    <t>EQUITY AND LIABILITIES</t>
  </si>
  <si>
    <t>Non-current liabilities</t>
  </si>
  <si>
    <t>Current Liabilities</t>
  </si>
  <si>
    <t>Total liabilities</t>
  </si>
  <si>
    <t>Total equity and liabilities</t>
  </si>
  <si>
    <t>Profit/(Loss) Before Tax</t>
  </si>
  <si>
    <t>Basic Earning/(Loss) Per Share (sen)</t>
  </si>
  <si>
    <t>Net cash generated from operating activities</t>
  </si>
  <si>
    <t>Profit/(Loss) Attributable to</t>
  </si>
  <si>
    <t>ordinary equity holders of the parent</t>
  </si>
  <si>
    <t>Proposed/ Declared Dividend Per Share (sen)</t>
  </si>
  <si>
    <t>Net  Assets Per Share Attributable to ordinary equity holders of the parent (RM)</t>
  </si>
  <si>
    <t>Profit/(Loss) For The Period</t>
  </si>
  <si>
    <t>Other operating income</t>
  </si>
  <si>
    <t>Finance costs</t>
  </si>
  <si>
    <t>Information and the Accountants' Report for the Financial Year ended 31 December 2008 as disclosed in the Prospectus</t>
  </si>
  <si>
    <t>Work-in-progress</t>
  </si>
  <si>
    <t>Inventories</t>
  </si>
  <si>
    <t>Other receivables,deposits &amp; prepayment</t>
  </si>
  <si>
    <t xml:space="preserve">Equity </t>
  </si>
  <si>
    <t>Share capital</t>
  </si>
  <si>
    <t>Hire purchase creditors</t>
  </si>
  <si>
    <t xml:space="preserve">Trade payables </t>
  </si>
  <si>
    <t>Short term borrowings</t>
  </si>
  <si>
    <t>Tax payables</t>
  </si>
  <si>
    <t>Total Equity</t>
  </si>
  <si>
    <t>CASH FLOWS FROM OPERATING ACTIVITIES</t>
  </si>
  <si>
    <t>Depreciation of property, plant and equipment</t>
  </si>
  <si>
    <t>Interest expense</t>
  </si>
  <si>
    <t>Amortisation of prepaid land lease payments</t>
  </si>
  <si>
    <t>Interest income</t>
  </si>
  <si>
    <t>Unrealised gain on foreign exchange</t>
  </si>
  <si>
    <t>Increase in trade payables</t>
  </si>
  <si>
    <t>Tax paid</t>
  </si>
  <si>
    <t>CASH FLOWS FROM INVESTING ACTIVITIES</t>
  </si>
  <si>
    <t>Short term and fixed deposits interest received</t>
  </si>
  <si>
    <t>Purchase of property, plant and equipment</t>
  </si>
  <si>
    <t>Net cash used in investing activities</t>
  </si>
  <si>
    <t>CASH FLOWS FROM FINANCING ACTIVITIES</t>
  </si>
  <si>
    <t>Payment of hire purchase interest</t>
  </si>
  <si>
    <t>Repayment of hire purchase creditors</t>
  </si>
  <si>
    <t>UNAUDITED</t>
  </si>
  <si>
    <t>As at</t>
  </si>
  <si>
    <t>Notes:</t>
  </si>
  <si>
    <t>Short term and fixed deposits with licensed banks</t>
  </si>
  <si>
    <t>Cash and bank balances</t>
  </si>
  <si>
    <t>Bank overdraft</t>
  </si>
  <si>
    <t>FOR THE SECOND QUARTER ENDED 30 JUNE 2009</t>
  </si>
  <si>
    <t>Individual Quarter</t>
  </si>
  <si>
    <t>UNAUDITED CONDENSED CONSOLIDATED STATEMENT OF CHANGES IN EQUITY</t>
  </si>
  <si>
    <t>UNAUDITED CONDENSED CONSOLIDATED CASH FLOW STATEMENT</t>
  </si>
  <si>
    <t>Decrease/(Increase) in inventories</t>
  </si>
  <si>
    <t>(Increase )in work-in-progress</t>
  </si>
  <si>
    <t>Placement of fixed deposits</t>
  </si>
  <si>
    <t>Payment  of term loan interest</t>
  </si>
  <si>
    <t>Repayment of term loan</t>
  </si>
  <si>
    <t xml:space="preserve">less FD pleadged with licenced banks </t>
  </si>
  <si>
    <t>The Condensed Consolidated  Cash Flow Statement should be read in conjunction with the Proforma Consolidated Financial</t>
  </si>
  <si>
    <r>
      <t xml:space="preserve">of the Company dated 29 </t>
    </r>
    <r>
      <rPr>
        <strike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June 2009 and the accompanying notes attached to this interim financial report.</t>
    </r>
  </si>
  <si>
    <t>Cash and cash equivalents comprises :-</t>
  </si>
  <si>
    <t>(Decrease) in other payables and accruals</t>
  </si>
  <si>
    <t xml:space="preserve"> Quarter Ended </t>
  </si>
  <si>
    <t xml:space="preserve"> </t>
  </si>
  <si>
    <t>Cash and cash equivalents at beginning of the period</t>
  </si>
  <si>
    <t>Cash and cash equivalents at the end  of the period</t>
  </si>
  <si>
    <t>Negative Goodwill arising from consolidation</t>
  </si>
  <si>
    <t>Decrease in trade receivables</t>
  </si>
  <si>
    <t>(Increase) in other receivables, deposits and prepayments</t>
  </si>
  <si>
    <t>Net Cash generated from operations</t>
  </si>
  <si>
    <t>Effect of acquisition of subsidiary,net of cash acquired</t>
  </si>
  <si>
    <t>Net (decrease) in bill payable</t>
  </si>
  <si>
    <t>Dividend paid to former shareholders</t>
  </si>
  <si>
    <t>Net cash used in  financing activities</t>
  </si>
  <si>
    <t>Net decrease In cash and cash equivalents equivalents</t>
  </si>
  <si>
    <t>Adjustments for Non Cash items</t>
  </si>
  <si>
    <t>Property, plant and equipment</t>
  </si>
  <si>
    <t>Trade receivables</t>
  </si>
  <si>
    <t>Reserves</t>
  </si>
  <si>
    <t>Long term borrowings</t>
  </si>
  <si>
    <t>Deferred taxation</t>
  </si>
  <si>
    <t>Other payables and accruals</t>
  </si>
  <si>
    <t>**** denote RM2.00</t>
  </si>
  <si>
    <t>AUDITED</t>
  </si>
  <si>
    <t>Total equity</t>
  </si>
  <si>
    <t xml:space="preserve">  Attributable to equity holders of the Company</t>
  </si>
  <si>
    <t>HANDAL RESOURCES  BERHAD (816839-X)</t>
  </si>
  <si>
    <t>*** denote RM2.00</t>
  </si>
  <si>
    <r>
      <t xml:space="preserve">Cumulative Period </t>
    </r>
    <r>
      <rPr>
        <b/>
        <strike/>
        <sz val="11"/>
        <rFont val="Arial"/>
        <family val="2"/>
      </rPr>
      <t xml:space="preserve"> </t>
    </r>
  </si>
  <si>
    <t>(i)</t>
  </si>
  <si>
    <t>(ii)</t>
  </si>
  <si>
    <t>Net  Assets Per Share Attributable to ordinary equity holders of the Company (RM)</t>
  </si>
  <si>
    <t xml:space="preserve">The net assets per share attributed to ordinary equity holders of the Company  is calculated based on the net assets </t>
  </si>
  <si>
    <t>Decrease in other receivables, deposits and prepayments</t>
  </si>
  <si>
    <t>Decrease in other payables and accruals</t>
  </si>
  <si>
    <t>Net cash generated from  investing activities</t>
  </si>
  <si>
    <t>Cash and cash equivalents at  end  of the period</t>
  </si>
  <si>
    <t>Depreciation and amortisation cost</t>
  </si>
  <si>
    <t>Administration and other operating expenses</t>
  </si>
  <si>
    <t xml:space="preserve"> FD pledged with licenced banks </t>
  </si>
  <si>
    <t>Current Quarter ended</t>
  </si>
  <si>
    <t xml:space="preserve">Basic earnings per share for the quarter and financial period is calculated based on the net profit  divided by the weighted </t>
  </si>
  <si>
    <t>average number of ordinary shares for the  quarter and financial period respectively.</t>
  </si>
  <si>
    <t>Increase in trade receivables</t>
  </si>
  <si>
    <t xml:space="preserve">Net increase in cash and cash equivalents </t>
  </si>
  <si>
    <t xml:space="preserve">Weighted average no. of ordinary </t>
  </si>
  <si>
    <t>shares in issue (' 000)</t>
  </si>
  <si>
    <t>Cash on hand and at bank</t>
  </si>
  <si>
    <t>Note **</t>
  </si>
  <si>
    <t xml:space="preserve"> launching of prospectus,listing roadshow with fund managers and investment bankers and Public Relation exercise. </t>
  </si>
  <si>
    <t>Goodwill arising on consolidation</t>
  </si>
  <si>
    <t>These expenses consist of RM1,400,000 professional fees for listing exercise and RM1,120,000 expenses incurred during</t>
  </si>
  <si>
    <t>Shareholders' Fund</t>
  </si>
  <si>
    <t>Minority Interests</t>
  </si>
  <si>
    <t>CONSOLIDATED BALANCE SHEET</t>
  </si>
  <si>
    <t>AS AT 31 DECEMBER 2009</t>
  </si>
  <si>
    <t xml:space="preserve">  RM</t>
  </si>
  <si>
    <t>Prepaid land lease payments</t>
  </si>
  <si>
    <t>Goodwill on consolidation</t>
  </si>
  <si>
    <t>Current assets</t>
  </si>
  <si>
    <t>Amount due from customers for contract works</t>
  </si>
  <si>
    <t>Other receivables, deposits and prepayments</t>
  </si>
  <si>
    <t>Short term investment</t>
  </si>
  <si>
    <t xml:space="preserve">Cash on hand and at banks </t>
  </si>
  <si>
    <t>TOTAL ASSETS</t>
  </si>
  <si>
    <t>Equity attributable to shareholders of the Company</t>
  </si>
  <si>
    <t>Borrowings</t>
  </si>
  <si>
    <t>Current liabilities</t>
  </si>
  <si>
    <t>Trade payables</t>
  </si>
  <si>
    <t>Current tax payable</t>
  </si>
  <si>
    <t>TOTAL LIABILITIES</t>
  </si>
  <si>
    <t>TOTAL EQUITY AND LIABILITIES</t>
  </si>
  <si>
    <t>HANDAL RESOURCES BERHAD</t>
  </si>
  <si>
    <t>(Incorporated in Malaysia)</t>
  </si>
  <si>
    <t>AND ITS SUBSIDIARIES</t>
  </si>
  <si>
    <t>CONSOLIDATED CASH FLOW STATEMENT</t>
  </si>
  <si>
    <t>FOR THE YEAR ENDED 31 DECEMBER 2009</t>
  </si>
  <si>
    <t>Note</t>
  </si>
  <si>
    <t>RM</t>
  </si>
  <si>
    <t>Unrealised loss on foreign exchange</t>
  </si>
  <si>
    <t>Income from short term investment</t>
  </si>
  <si>
    <t>Excess of fair value over acquisition cost of subsidiary</t>
  </si>
  <si>
    <t>Decrease in inventories</t>
  </si>
  <si>
    <t>Decrease in work-in-progress</t>
  </si>
  <si>
    <t>Increase in amount due from customers for contract works</t>
  </si>
  <si>
    <t>Cash generated from operations</t>
  </si>
  <si>
    <t>Effect of acquisition of subsidiary companies,</t>
  </si>
  <si>
    <t>net of cash acquired</t>
  </si>
  <si>
    <t xml:space="preserve">Interest received </t>
  </si>
  <si>
    <t>Short term investment income received</t>
  </si>
  <si>
    <t>Net cash generated from investing activities</t>
  </si>
  <si>
    <t>Proceeds from issuance of shares</t>
  </si>
  <si>
    <t>Net drawdown of term loan</t>
  </si>
  <si>
    <t>Payment of term loan interest</t>
  </si>
  <si>
    <t>Payment of interest on medium term notes</t>
  </si>
  <si>
    <t xml:space="preserve">Payment of share issue and listing expenses </t>
  </si>
  <si>
    <t>Net decrease in bills payable</t>
  </si>
  <si>
    <t xml:space="preserve">Repayment of medium term notes </t>
  </si>
  <si>
    <t>Net cash generated from financing activities</t>
  </si>
  <si>
    <t>NET INCREASE IN CASH AND CASH EQUIVALENTS</t>
  </si>
  <si>
    <t>CASH AND CASH EQUIVALENTS AT BEGINNING OF YEAR</t>
  </si>
  <si>
    <t>CASH AND CASH EQUIVALENTS AT END OF YEAR</t>
  </si>
  <si>
    <t>Cash and cash equivalents included in the cash flow statements comprise the following balance sheets amounts :</t>
  </si>
  <si>
    <t>Group</t>
  </si>
  <si>
    <t>Short term investment (Note 9)</t>
  </si>
  <si>
    <t>Short term and fixed deposits</t>
  </si>
  <si>
    <t>with licensed banks</t>
  </si>
  <si>
    <t>Cash on hand and at banks</t>
  </si>
  <si>
    <t>Bank overdrafts (Note 14)</t>
  </si>
  <si>
    <t>Less : Fixed deposits pledged to</t>
  </si>
  <si>
    <t xml:space="preserve">          licensed banks (Note 10)</t>
  </si>
  <si>
    <t>CASH AND CASH EQUIVALENTS</t>
  </si>
  <si>
    <t>Current Quarter Ended          31 March 2010</t>
  </si>
  <si>
    <t>Corresponding                Year To Date                                           31 December  2009</t>
  </si>
  <si>
    <t>Non- controlling Interest</t>
  </si>
  <si>
    <t>UNAUDITED CONDENSED CONSOLIDATED STATEMENT OF FINANCIAL POSITION</t>
  </si>
  <si>
    <t>The Condensed Consolidated  Statement of financial position should be read in conjunction with the audited financial statements</t>
  </si>
  <si>
    <t>UNAUDITED CONDENSED CONSOLIDATED STATEMENT OF COMPREHENSIVE INCOME</t>
  </si>
  <si>
    <t>Other comprehensive income</t>
  </si>
  <si>
    <t>Total other comprehensive income</t>
  </si>
  <si>
    <t>Total comprehensive income for the period</t>
  </si>
  <si>
    <t>Earnings  per share - Basic (sen)</t>
  </si>
  <si>
    <t xml:space="preserve">The Condensed Consolidated Statement of comprehensive income should be read in conjunction with the audited financial </t>
  </si>
  <si>
    <t xml:space="preserve">The Condensed Consolidated  Statement of Changes in Equity should be read in conjunction with the audited financial statements </t>
  </si>
  <si>
    <t>The Condensed Consolidated  Statement of Cashflow should be read in conjunction with the audited financial</t>
  </si>
  <si>
    <t>Equity holders of the parent</t>
  </si>
  <si>
    <t>Non-controlling Interest</t>
  </si>
  <si>
    <t>Preceding Year Corresponding Period</t>
  </si>
  <si>
    <t>Preceding Year Corresponding Quarter</t>
  </si>
  <si>
    <t>Net increase/(decrease) in bills payable</t>
  </si>
  <si>
    <t>(Repayment)/Draw down of Term Loan</t>
  </si>
  <si>
    <t>Cumulative Year To Date</t>
  </si>
  <si>
    <t>Decrease/(Increase)  in Inventories</t>
  </si>
  <si>
    <t>Decrease/(Increase) in work-in-progress</t>
  </si>
  <si>
    <t>Decrease/(Increase) in amount due from customers for contract works</t>
  </si>
  <si>
    <t>Decrease/(Increase) in other receivables, deposits and prepayments</t>
  </si>
  <si>
    <t>Total comprehensive income for the year</t>
  </si>
  <si>
    <t>(Decrease)/Increase in amount due to customers for contract works</t>
  </si>
  <si>
    <t>Decrease/(Increase) in trade receivables</t>
  </si>
  <si>
    <t>(Decrease)/Increase  in trade payables</t>
  </si>
  <si>
    <t>(Decrease)/Increase in other payables and accruals</t>
  </si>
  <si>
    <t>divided  by the number of ordinary shares in issue as at Balance Sheet date.</t>
  </si>
  <si>
    <t>31 March 2012</t>
  </si>
  <si>
    <t>Intangible asset</t>
  </si>
  <si>
    <t>Amount due by customers for contract works</t>
  </si>
  <si>
    <t>Financial assets held for trading</t>
  </si>
  <si>
    <t>Fixed deposits with licensed banks</t>
  </si>
  <si>
    <t>Warrant Reserve</t>
  </si>
  <si>
    <t>Short term investment and fixed deposits with licensed banks</t>
  </si>
  <si>
    <t>Treasury shares</t>
  </si>
  <si>
    <t>30 September 2012</t>
  </si>
  <si>
    <t>30 June 2012</t>
  </si>
  <si>
    <t>Treasury Shares</t>
  </si>
  <si>
    <t>Dividend paid</t>
  </si>
  <si>
    <t>Purchase of Treasury Shares</t>
  </si>
  <si>
    <t>Deferred Tax Asset</t>
  </si>
  <si>
    <t>Profit/(loss)  before taxation</t>
  </si>
  <si>
    <t>Profit /(loss)after tax for the period</t>
  </si>
  <si>
    <t>Profit/(loss) attributable to:</t>
  </si>
  <si>
    <t>31 December 2012</t>
  </si>
  <si>
    <t xml:space="preserve"> for the financial year ended 31 December 2012 and the accompanying notes attached to this interim financial report.</t>
  </si>
  <si>
    <t>statements for the financial year ended 31 December 2012 and the accompanying notes attached to this interim financial report.</t>
  </si>
  <si>
    <t>Balance as at 1 Jan 2013(restated)</t>
  </si>
  <si>
    <t>Interest received</t>
  </si>
  <si>
    <t>Currency translation difference</t>
  </si>
  <si>
    <t>Tax recoverable</t>
  </si>
  <si>
    <t>Investment in a jointly controlled entity</t>
  </si>
  <si>
    <t>have been restated to RM15,987 thousand.</t>
  </si>
  <si>
    <t xml:space="preserve">Due to the audit adjustments on dividend declared but not paid during FYE2012, the Retained Profits for 4th Quarter 2012 announcement of RM17,587 thousand </t>
  </si>
  <si>
    <t>Total comprehensive income/(loss) for the period</t>
  </si>
  <si>
    <t>30 June 2013</t>
  </si>
  <si>
    <t>FOR THE FINANCIAL YEAR ENDED 30 JUNE 2013</t>
  </si>
  <si>
    <t>Period Ended                             30 June 2013</t>
  </si>
  <si>
    <t>Preceding year Corresponding                Period                                         30 June 2012</t>
  </si>
  <si>
    <t>Proceeds from disposal of property, plant and equipment</t>
  </si>
  <si>
    <t>Acquisition of intangible assets</t>
  </si>
  <si>
    <t>Proceeds from disposal of financial assets hold for trading</t>
  </si>
  <si>
    <t>Liquidate/(Placement )of fixed deposits</t>
  </si>
  <si>
    <t>31 March 2013</t>
  </si>
  <si>
    <t>30 September 2013</t>
  </si>
  <si>
    <t>Sales of Treasury Shares</t>
  </si>
  <si>
    <t>FOR THE FOURTH QUARTER ENDED 31 DECEMBER 2013</t>
  </si>
  <si>
    <t>31 December 2013</t>
  </si>
  <si>
    <t>AS AT 31 DECEMBER 2013</t>
  </si>
  <si>
    <t>Balance as at 31 December 2013</t>
  </si>
  <si>
    <t>FOR THE FINANCIAL YEAR ENDED 31 DECEMBER 2013</t>
  </si>
  <si>
    <t>Period Ended                             31 December 2013</t>
  </si>
  <si>
    <t>Preceding year Corresponding                Period                                         31 December 2012</t>
  </si>
  <si>
    <t>Payment of term loan Interest</t>
  </si>
  <si>
    <t>Sales/(purchase) of Treasury Shares</t>
  </si>
  <si>
    <t>Advance progress claim from customer</t>
  </si>
  <si>
    <t>Amount due to customers for contract works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</si>
</sst>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#\ ???/???"/>
    <numFmt numFmtId="171" formatCode="_(* #,##0.0_);_(* \(#,##0.0\);_(* &quot;-&quot;??_);_(@_)"/>
    <numFmt numFmtId="172" formatCode="_(* #,##0_);_(* \(#,##0\);_(* &quot;-&quot;??_);_(@_)"/>
    <numFmt numFmtId="173" formatCode="#,##0.0"/>
    <numFmt numFmtId="174" formatCode="#,##0.000"/>
    <numFmt numFmtId="175" formatCode="0_);\(0\)"/>
    <numFmt numFmtId="176" formatCode="00000"/>
    <numFmt numFmtId="177" formatCode="0.0"/>
    <numFmt numFmtId="178" formatCode="0.E+00"/>
    <numFmt numFmtId="179" formatCode="000\-00\-0000"/>
    <numFmt numFmtId="180" formatCode="_(* #,##0.0_);_(* \(#,##0.0\);_(* &quot;-&quot;_);_(@_)"/>
    <numFmt numFmtId="181" formatCode="_(* #,##0.00_);_(* \(#,##0.00\);_(* &quot;-&quot;_);_(@_)"/>
    <numFmt numFmtId="182" formatCode="#,##0.0_);\(#,##0.0\)"/>
    <numFmt numFmtId="183" formatCode="#,##0.000_);\(#,##0.000\)"/>
    <numFmt numFmtId="184" formatCode="#,##0.0000_);\(#,##0.0000\)"/>
    <numFmt numFmtId="185" formatCode="#,##0.00000_);\(#,##0.00000\)"/>
    <numFmt numFmtId="186" formatCode="#,##0.000000_);\(#,##0.000000\)"/>
    <numFmt numFmtId="187" formatCode="_(* #,##0.000_);_(* \(#,##0.000\);_(* &quot;-&quot;??_);_(@_)"/>
    <numFmt numFmtId="188" formatCode="_(* #,##0.0000_);_(* \(#,##0.0000\);_(* &quot;-&quot;??_);_(@_)"/>
    <numFmt numFmtId="189" formatCode="_(* #,##0.00000_);_(* \(#,##0.00000\);_(* &quot;-&quot;??_);_(@_)"/>
    <numFmt numFmtId="190" formatCode="_(* #,##0.000000_);_(* \(#,##0.000000\);_(* &quot;-&quot;??_);_(@_)"/>
    <numFmt numFmtId="191" formatCode="_(* #,##0.000_);_(* \(#,##0.000\);_(* &quot;-&quot;_);_(@_)"/>
    <numFmt numFmtId="192" formatCode="_(* #,##0.0000_);_(* \(#,##0.0000\);_(* &quot;-&quot;_);_(@_)"/>
    <numFmt numFmtId="193" formatCode="_(* #,##0.00000_);_(* \(#,##0.00000\);_(* &quot;-&quot;_);_(@_)"/>
    <numFmt numFmtId="194" formatCode="_(* #,##0.000000_);_(* \(#,##0.000000\);_(* &quot;-&quot;_);_(@_)"/>
    <numFmt numFmtId="195" formatCode="_(* #,##0.0000000_);_(* \(#,##0.0000000\);_(* &quot;-&quot;_);_(@_)"/>
    <numFmt numFmtId="196" formatCode="_(* #,##0.00000000_);_(* \(#,##0.00000000\);_(* &quot;-&quot;_);_(@_)"/>
    <numFmt numFmtId="197" formatCode="_(* #,##0.000000000_);_(* \(#,##0.000000000\);_(* &quot;-&quot;_);_(@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[$-409]dddd\,\ mmmm\ dd\,\ yyyy"/>
    <numFmt numFmtId="203" formatCode="[$-409]d/mmm/yyyy;@"/>
    <numFmt numFmtId="204" formatCode="[$-409]h:mm:ss\ AM/PM"/>
    <numFmt numFmtId="205" formatCode="#,##0;[Red]#,##0"/>
  </numFmts>
  <fonts count="8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trike/>
      <sz val="10"/>
      <color indexed="8"/>
      <name val="Arial"/>
      <family val="2"/>
    </font>
    <font>
      <b/>
      <strike/>
      <sz val="11"/>
      <name val="Arial"/>
      <family val="2"/>
    </font>
    <font>
      <sz val="11"/>
      <color indexed="12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trike/>
      <sz val="12"/>
      <color indexed="12"/>
      <name val="Arial"/>
      <family val="2"/>
    </font>
    <font>
      <sz val="12"/>
      <color indexed="12"/>
      <name val="Arial"/>
      <family val="2"/>
    </font>
    <font>
      <u val="single"/>
      <sz val="11"/>
      <name val="Arial"/>
      <family val="2"/>
    </font>
    <font>
      <b/>
      <sz val="11"/>
      <color indexed="12"/>
      <name val="Arial"/>
      <family val="2"/>
    </font>
    <font>
      <sz val="14"/>
      <name val="Arial"/>
      <family val="2"/>
    </font>
    <font>
      <sz val="13"/>
      <color indexed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i/>
      <sz val="10"/>
      <color indexed="59"/>
      <name val="Calibri"/>
      <family val="2"/>
    </font>
    <font>
      <sz val="12"/>
      <color indexed="8"/>
      <name val="Arial"/>
      <family val="2"/>
    </font>
    <font>
      <b/>
      <i/>
      <sz val="11"/>
      <color indexed="59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Times New Roman"/>
      <family val="1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i/>
      <sz val="10"/>
      <color theme="2" tint="-0.8999800086021423"/>
      <name val="Calibri"/>
      <family val="2"/>
    </font>
    <font>
      <sz val="12"/>
      <color theme="1"/>
      <name val="Arial"/>
      <family val="2"/>
    </font>
    <font>
      <b/>
      <i/>
      <sz val="11"/>
      <color theme="2" tint="-0.8999800086021423"/>
      <name val="Arial"/>
      <family val="2"/>
    </font>
    <font>
      <sz val="13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Times New Roman"/>
      <family val="1"/>
    </font>
    <font>
      <sz val="12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55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37" fontId="0" fillId="0" borderId="0" xfId="0" applyNumberFormat="1" applyAlignment="1">
      <alignment horizontal="center"/>
    </xf>
    <xf numFmtId="39" fontId="0" fillId="0" borderId="0" xfId="0" applyNumberFormat="1" applyAlignment="1">
      <alignment horizontal="center"/>
    </xf>
    <xf numFmtId="37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172" fontId="5" fillId="0" borderId="0" xfId="42" applyNumberFormat="1" applyFont="1" applyAlignment="1">
      <alignment horizontal="right" vertical="top" wrapText="1"/>
    </xf>
    <xf numFmtId="172" fontId="5" fillId="0" borderId="10" xfId="42" applyNumberFormat="1" applyFont="1" applyBorder="1" applyAlignment="1">
      <alignment horizontal="right" vertical="top" wrapText="1"/>
    </xf>
    <xf numFmtId="172" fontId="5" fillId="0" borderId="11" xfId="42" applyNumberFormat="1" applyFont="1" applyBorder="1" applyAlignment="1">
      <alignment horizontal="right" vertical="top" wrapText="1"/>
    </xf>
    <xf numFmtId="0" fontId="5" fillId="0" borderId="0" xfId="0" applyFont="1" applyAlignment="1">
      <alignment horizontal="justify" vertical="top" wrapText="1"/>
    </xf>
    <xf numFmtId="0" fontId="4" fillId="0" borderId="0" xfId="0" applyFont="1" applyAlignment="1">
      <alignment horizontal="left" vertical="top" wrapText="1"/>
    </xf>
    <xf numFmtId="172" fontId="5" fillId="0" borderId="10" xfId="42" applyNumberFormat="1" applyFont="1" applyBorder="1" applyAlignment="1">
      <alignment vertical="top" wrapText="1"/>
    </xf>
    <xf numFmtId="172" fontId="5" fillId="0" borderId="12" xfId="42" applyNumberFormat="1" applyFont="1" applyBorder="1" applyAlignment="1">
      <alignment horizontal="right" vertical="top" wrapText="1"/>
    </xf>
    <xf numFmtId="172" fontId="5" fillId="0" borderId="0" xfId="42" applyNumberFormat="1" applyFont="1" applyBorder="1" applyAlignment="1">
      <alignment horizontal="right" vertical="top" wrapText="1"/>
    </xf>
    <xf numFmtId="172" fontId="0" fillId="0" borderId="0" xfId="42" applyNumberFormat="1" applyFont="1" applyAlignment="1">
      <alignment horizontal="right" vertical="top" wrapText="1"/>
    </xf>
    <xf numFmtId="172" fontId="0" fillId="0" borderId="10" xfId="42" applyNumberFormat="1" applyFont="1" applyBorder="1" applyAlignment="1">
      <alignment horizontal="right" vertical="top" wrapText="1"/>
    </xf>
    <xf numFmtId="172" fontId="0" fillId="0" borderId="0" xfId="42" applyNumberFormat="1" applyFont="1" applyBorder="1" applyAlignment="1">
      <alignment horizontal="right" vertical="top" wrapText="1"/>
    </xf>
    <xf numFmtId="172" fontId="0" fillId="0" borderId="0" xfId="42" applyNumberFormat="1" applyFont="1" applyAlignment="1">
      <alignment/>
    </xf>
    <xf numFmtId="172" fontId="0" fillId="0" borderId="12" xfId="42" applyNumberFormat="1" applyFont="1" applyBorder="1" applyAlignment="1">
      <alignment horizontal="right" vertical="top" wrapText="1"/>
    </xf>
    <xf numFmtId="172" fontId="5" fillId="0" borderId="13" xfId="42" applyNumberFormat="1" applyFont="1" applyBorder="1" applyAlignment="1">
      <alignment horizontal="right" vertical="top" wrapText="1"/>
    </xf>
    <xf numFmtId="172" fontId="0" fillId="0" borderId="13" xfId="42" applyNumberFormat="1" applyFont="1" applyBorder="1" applyAlignment="1">
      <alignment horizontal="right" vertical="top" wrapText="1"/>
    </xf>
    <xf numFmtId="0" fontId="4" fillId="0" borderId="0" xfId="0" applyFont="1" applyAlignment="1">
      <alignment horizontal="justify" vertical="top"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74" fillId="0" borderId="0" xfId="0" applyFont="1" applyAlignment="1">
      <alignment vertical="top" wrapText="1"/>
    </xf>
    <xf numFmtId="0" fontId="74" fillId="0" borderId="0" xfId="0" applyFont="1" applyAlignment="1">
      <alignment horizontal="justify" vertical="top" wrapText="1"/>
    </xf>
    <xf numFmtId="0" fontId="74" fillId="0" borderId="0" xfId="0" applyFont="1" applyAlignment="1">
      <alignment horizontal="left" vertical="top" wrapText="1"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172" fontId="0" fillId="0" borderId="14" xfId="0" applyNumberFormat="1" applyFont="1" applyBorder="1" applyAlignment="1">
      <alignment/>
    </xf>
    <xf numFmtId="0" fontId="76" fillId="0" borderId="0" xfId="0" applyFont="1" applyAlignment="1">
      <alignment/>
    </xf>
    <xf numFmtId="0" fontId="0" fillId="0" borderId="14" xfId="0" applyFont="1" applyBorder="1" applyAlignment="1">
      <alignment horizontal="right"/>
    </xf>
    <xf numFmtId="172" fontId="4" fillId="0" borderId="0" xfId="42" applyNumberFormat="1" applyFont="1" applyAlignment="1">
      <alignment horizontal="right" vertical="top" wrapText="1"/>
    </xf>
    <xf numFmtId="172" fontId="4" fillId="0" borderId="10" xfId="42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172" fontId="0" fillId="0" borderId="0" xfId="0" applyNumberFormat="1" applyAlignment="1">
      <alignment/>
    </xf>
    <xf numFmtId="172" fontId="4" fillId="0" borderId="10" xfId="42" applyNumberFormat="1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3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7" fontId="5" fillId="0" borderId="0" xfId="0" applyNumberFormat="1" applyFont="1" applyFill="1" applyAlignment="1">
      <alignment horizontal="center"/>
    </xf>
    <xf numFmtId="37" fontId="5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39" fontId="5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37" fontId="13" fillId="0" borderId="0" xfId="0" applyNumberFormat="1" applyFont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37" fontId="14" fillId="0" borderId="0" xfId="0" applyNumberFormat="1" applyFont="1" applyBorder="1" applyAlignment="1">
      <alignment horizontal="center"/>
    </xf>
    <xf numFmtId="37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left"/>
    </xf>
    <xf numFmtId="37" fontId="14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39" fontId="14" fillId="0" borderId="0" xfId="0" applyNumberFormat="1" applyFont="1" applyAlignment="1">
      <alignment horizontal="center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7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2" fontId="5" fillId="0" borderId="0" xfId="42" applyNumberFormat="1" applyFont="1" applyAlignment="1">
      <alignment horizontal="center" vertical="center"/>
    </xf>
    <xf numFmtId="172" fontId="4" fillId="0" borderId="14" xfId="42" applyNumberFormat="1" applyFont="1" applyBorder="1" applyAlignment="1">
      <alignment horizontal="center" vertical="center"/>
    </xf>
    <xf numFmtId="37" fontId="5" fillId="0" borderId="0" xfId="0" applyNumberFormat="1" applyFont="1" applyAlignment="1">
      <alignment vertical="center"/>
    </xf>
    <xf numFmtId="37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72" fontId="5" fillId="0" borderId="0" xfId="42" applyNumberFormat="1" applyFont="1" applyAlignment="1">
      <alignment/>
    </xf>
    <xf numFmtId="172" fontId="5" fillId="0" borderId="0" xfId="0" applyNumberFormat="1" applyFont="1" applyAlignment="1">
      <alignment/>
    </xf>
    <xf numFmtId="0" fontId="78" fillId="0" borderId="0" xfId="0" applyFont="1" applyAlignment="1">
      <alignment/>
    </xf>
    <xf numFmtId="0" fontId="13" fillId="0" borderId="0" xfId="0" applyFont="1" applyAlignment="1">
      <alignment horizontal="right"/>
    </xf>
    <xf numFmtId="37" fontId="14" fillId="0" borderId="0" xfId="0" applyNumberFormat="1" applyFont="1" applyBorder="1" applyAlignment="1">
      <alignment horizontal="right"/>
    </xf>
    <xf numFmtId="37" fontId="14" fillId="0" borderId="10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right"/>
    </xf>
    <xf numFmtId="37" fontId="13" fillId="0" borderId="14" xfId="0" applyNumberFormat="1" applyFont="1" applyBorder="1" applyAlignment="1">
      <alignment horizontal="right"/>
    </xf>
    <xf numFmtId="172" fontId="4" fillId="0" borderId="0" xfId="42" applyNumberFormat="1" applyFont="1" applyAlignment="1">
      <alignment horizontal="center" vertical="center"/>
    </xf>
    <xf numFmtId="172" fontId="4" fillId="0" borderId="12" xfId="42" applyNumberFormat="1" applyFont="1" applyBorder="1" applyAlignment="1">
      <alignment horizontal="right" vertical="top" wrapText="1"/>
    </xf>
    <xf numFmtId="172" fontId="4" fillId="0" borderId="0" xfId="42" applyNumberFormat="1" applyFont="1" applyBorder="1" applyAlignment="1">
      <alignment horizontal="right" vertical="top" wrapText="1"/>
    </xf>
    <xf numFmtId="172" fontId="4" fillId="0" borderId="14" xfId="0" applyNumberFormat="1" applyFont="1" applyBorder="1" applyAlignment="1">
      <alignment/>
    </xf>
    <xf numFmtId="37" fontId="14" fillId="0" borderId="15" xfId="0" applyNumberFormat="1" applyFont="1" applyBorder="1" applyAlignment="1">
      <alignment horizontal="right"/>
    </xf>
    <xf numFmtId="172" fontId="6" fillId="33" borderId="0" xfId="42" applyNumberFormat="1" applyFont="1" applyFill="1" applyAlignment="1">
      <alignment/>
    </xf>
    <xf numFmtId="172" fontId="14" fillId="0" borderId="10" xfId="42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right"/>
    </xf>
    <xf numFmtId="3" fontId="19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172" fontId="5" fillId="0" borderId="10" xfId="42" applyNumberFormat="1" applyFont="1" applyBorder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37" fontId="5" fillId="0" borderId="0" xfId="0" applyNumberFormat="1" applyFont="1" applyAlignment="1">
      <alignment horizontal="right"/>
    </xf>
    <xf numFmtId="37" fontId="5" fillId="0" borderId="14" xfId="0" applyNumberFormat="1" applyFont="1" applyBorder="1" applyAlignment="1">
      <alignment horizontal="right"/>
    </xf>
    <xf numFmtId="37" fontId="0" fillId="0" borderId="0" xfId="0" applyNumberFormat="1" applyAlignment="1">
      <alignment/>
    </xf>
    <xf numFmtId="37" fontId="5" fillId="0" borderId="0" xfId="0" applyNumberFormat="1" applyFont="1" applyBorder="1" applyAlignment="1">
      <alignment horizontal="right"/>
    </xf>
    <xf numFmtId="37" fontId="5" fillId="0" borderId="16" xfId="0" applyNumberFormat="1" applyFont="1" applyBorder="1" applyAlignment="1">
      <alignment horizontal="right"/>
    </xf>
    <xf numFmtId="37" fontId="5" fillId="0" borderId="12" xfId="0" applyNumberFormat="1" applyFont="1" applyBorder="1" applyAlignment="1">
      <alignment horizontal="right"/>
    </xf>
    <xf numFmtId="37" fontId="14" fillId="0" borderId="11" xfId="0" applyNumberFormat="1" applyFont="1" applyBorder="1" applyAlignment="1">
      <alignment horizontal="right"/>
    </xf>
    <xf numFmtId="37" fontId="14" fillId="0" borderId="17" xfId="0" applyNumberFormat="1" applyFont="1" applyBorder="1" applyAlignment="1">
      <alignment horizontal="right"/>
    </xf>
    <xf numFmtId="0" fontId="55" fillId="0" borderId="0" xfId="57">
      <alignment/>
      <protection/>
    </xf>
    <xf numFmtId="0" fontId="82" fillId="0" borderId="0" xfId="57" applyFont="1">
      <alignment/>
      <protection/>
    </xf>
    <xf numFmtId="0" fontId="82" fillId="0" borderId="0" xfId="57" applyFont="1" applyAlignment="1">
      <alignment horizontal="right" vertical="top" wrapText="1"/>
      <protection/>
    </xf>
    <xf numFmtId="0" fontId="80" fillId="0" borderId="0" xfId="57" applyFont="1" applyAlignment="1">
      <alignment horizontal="right" vertical="top" wrapText="1"/>
      <protection/>
    </xf>
    <xf numFmtId="0" fontId="83" fillId="0" borderId="0" xfId="57" applyFont="1" applyAlignment="1">
      <alignment wrapText="1"/>
      <protection/>
    </xf>
    <xf numFmtId="0" fontId="80" fillId="0" borderId="0" xfId="57" applyFont="1">
      <alignment/>
      <protection/>
    </xf>
    <xf numFmtId="0" fontId="82" fillId="0" borderId="0" xfId="57" applyFont="1" applyAlignment="1">
      <alignment vertical="top" wrapText="1"/>
      <protection/>
    </xf>
    <xf numFmtId="0" fontId="80" fillId="0" borderId="0" xfId="57" applyFont="1" applyAlignment="1">
      <alignment vertical="top" wrapText="1"/>
      <protection/>
    </xf>
    <xf numFmtId="3" fontId="80" fillId="0" borderId="0" xfId="57" applyNumberFormat="1" applyFont="1" applyAlignment="1">
      <alignment horizontal="right" vertical="top" wrapText="1"/>
      <protection/>
    </xf>
    <xf numFmtId="3" fontId="80" fillId="0" borderId="10" xfId="57" applyNumberFormat="1" applyFont="1" applyBorder="1" applyAlignment="1">
      <alignment horizontal="right" vertical="top" wrapText="1"/>
      <protection/>
    </xf>
    <xf numFmtId="3" fontId="80" fillId="0" borderId="12" xfId="57" applyNumberFormat="1" applyFont="1" applyBorder="1" applyAlignment="1">
      <alignment horizontal="right" vertical="top" wrapText="1"/>
      <protection/>
    </xf>
    <xf numFmtId="0" fontId="83" fillId="0" borderId="0" xfId="57" applyFont="1" applyAlignment="1">
      <alignment horizontal="right" wrapText="1"/>
      <protection/>
    </xf>
    <xf numFmtId="0" fontId="5" fillId="0" borderId="0" xfId="0" applyFont="1" applyAlignment="1">
      <alignment horizontal="justify"/>
    </xf>
    <xf numFmtId="0" fontId="22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0" fillId="0" borderId="0" xfId="0" applyAlignment="1">
      <alignment horizontal="right"/>
    </xf>
    <xf numFmtId="0" fontId="22" fillId="0" borderId="0" xfId="0" applyFont="1" applyAlignment="1">
      <alignment horizontal="right" wrapText="1"/>
    </xf>
    <xf numFmtId="3" fontId="5" fillId="0" borderId="0" xfId="0" applyNumberFormat="1" applyFont="1" applyAlignment="1">
      <alignment horizontal="right" vertical="top" wrapText="1"/>
    </xf>
    <xf numFmtId="3" fontId="5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3" fontId="5" fillId="0" borderId="12" xfId="0" applyNumberFormat="1" applyFont="1" applyBorder="1" applyAlignment="1">
      <alignment horizontal="right" vertical="top" wrapText="1"/>
    </xf>
    <xf numFmtId="172" fontId="4" fillId="0" borderId="15" xfId="42" applyNumberFormat="1" applyFont="1" applyBorder="1" applyAlignment="1">
      <alignment horizontal="right" vertical="top" wrapText="1"/>
    </xf>
    <xf numFmtId="0" fontId="4" fillId="0" borderId="0" xfId="0" applyFont="1" applyAlignment="1">
      <alignment horizontal="justify"/>
    </xf>
    <xf numFmtId="0" fontId="4" fillId="0" borderId="1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3" fontId="5" fillId="0" borderId="0" xfId="0" applyNumberFormat="1" applyFont="1" applyBorder="1" applyAlignment="1">
      <alignment horizontal="justify" vertical="top" wrapText="1"/>
    </xf>
    <xf numFmtId="37" fontId="4" fillId="0" borderId="14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37" fontId="5" fillId="0" borderId="16" xfId="0" applyNumberFormat="1" applyFont="1" applyFill="1" applyBorder="1" applyAlignment="1">
      <alignment horizontal="right"/>
    </xf>
    <xf numFmtId="172" fontId="4" fillId="0" borderId="0" xfId="42" applyNumberFormat="1" applyFont="1" applyBorder="1" applyAlignment="1">
      <alignment vertical="top" wrapText="1"/>
    </xf>
    <xf numFmtId="172" fontId="5" fillId="0" borderId="0" xfId="42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37" fontId="5" fillId="0" borderId="0" xfId="0" applyNumberFormat="1" applyFont="1" applyFill="1" applyBorder="1" applyAlignment="1">
      <alignment horizontal="right"/>
    </xf>
    <xf numFmtId="39" fontId="5" fillId="0" borderId="0" xfId="0" applyNumberFormat="1" applyFont="1" applyFill="1" applyAlignment="1">
      <alignment horizontal="right"/>
    </xf>
    <xf numFmtId="0" fontId="23" fillId="0" borderId="0" xfId="0" applyFont="1" applyAlignment="1">
      <alignment horizontal="center"/>
    </xf>
    <xf numFmtId="41" fontId="14" fillId="0" borderId="0" xfId="0" applyNumberFormat="1" applyFont="1" applyBorder="1" applyAlignment="1">
      <alignment horizontal="right"/>
    </xf>
    <xf numFmtId="41" fontId="14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172" fontId="4" fillId="0" borderId="14" xfId="42" applyNumberFormat="1" applyFont="1" applyBorder="1" applyAlignment="1">
      <alignment horizontal="right" vertical="top" wrapText="1"/>
    </xf>
    <xf numFmtId="37" fontId="5" fillId="0" borderId="10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43" fontId="5" fillId="0" borderId="0" xfId="42" applyFont="1" applyBorder="1" applyAlignment="1">
      <alignment horizontal="right"/>
    </xf>
    <xf numFmtId="43" fontId="5" fillId="0" borderId="0" xfId="42" applyFont="1" applyAlignment="1">
      <alignment horizontal="center"/>
    </xf>
    <xf numFmtId="43" fontId="5" fillId="0" borderId="13" xfId="42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37" fontId="5" fillId="0" borderId="0" xfId="0" applyNumberFormat="1" applyFont="1" applyAlignment="1">
      <alignment horizontal="right" vertical="top" wrapText="1"/>
    </xf>
    <xf numFmtId="37" fontId="4" fillId="0" borderId="0" xfId="0" applyNumberFormat="1" applyFont="1" applyAlignment="1">
      <alignment horizontal="left" vertical="top" wrapText="1"/>
    </xf>
    <xf numFmtId="37" fontId="5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justify" vertical="top" wrapText="1"/>
    </xf>
    <xf numFmtId="0" fontId="1" fillId="0" borderId="0" xfId="0" applyFont="1" applyAlignment="1">
      <alignment horizontal="left" vertical="top" wrapText="1"/>
    </xf>
    <xf numFmtId="37" fontId="5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right"/>
    </xf>
    <xf numFmtId="37" fontId="5" fillId="0" borderId="14" xfId="0" applyNumberFormat="1" applyFont="1" applyFill="1" applyBorder="1" applyAlignment="1">
      <alignment horizontal="right"/>
    </xf>
    <xf numFmtId="37" fontId="5" fillId="0" borderId="0" xfId="0" applyNumberFormat="1" applyFont="1" applyFill="1" applyBorder="1" applyAlignment="1">
      <alignment horizontal="center"/>
    </xf>
    <xf numFmtId="37" fontId="14" fillId="0" borderId="10" xfId="0" applyNumberFormat="1" applyFont="1" applyFill="1" applyBorder="1" applyAlignment="1">
      <alignment horizontal="right"/>
    </xf>
    <xf numFmtId="37" fontId="14" fillId="0" borderId="0" xfId="0" applyNumberFormat="1" applyFont="1" applyFill="1" applyAlignment="1">
      <alignment horizontal="right"/>
    </xf>
    <xf numFmtId="37" fontId="14" fillId="0" borderId="0" xfId="0" applyNumberFormat="1" applyFont="1" applyFill="1" applyBorder="1" applyAlignment="1">
      <alignment horizontal="right"/>
    </xf>
    <xf numFmtId="37" fontId="14" fillId="0" borderId="17" xfId="0" applyNumberFormat="1" applyFont="1" applyFill="1" applyBorder="1" applyAlignment="1">
      <alignment horizontal="right"/>
    </xf>
    <xf numFmtId="172" fontId="5" fillId="0" borderId="0" xfId="42" applyNumberFormat="1" applyFont="1" applyFill="1" applyAlignment="1">
      <alignment horizontal="center" vertical="center"/>
    </xf>
    <xf numFmtId="172" fontId="4" fillId="0" borderId="14" xfId="42" applyNumberFormat="1" applyFont="1" applyFill="1" applyBorder="1" applyAlignment="1">
      <alignment horizontal="center" vertical="center"/>
    </xf>
    <xf numFmtId="37" fontId="5" fillId="0" borderId="0" xfId="0" applyNumberFormat="1" applyFont="1" applyFill="1" applyBorder="1" applyAlignment="1">
      <alignment horizontal="center" vertical="center"/>
    </xf>
    <xf numFmtId="172" fontId="4" fillId="0" borderId="0" xfId="42" applyNumberFormat="1" applyFont="1" applyFill="1" applyAlignment="1">
      <alignment horizontal="center" vertical="center"/>
    </xf>
    <xf numFmtId="37" fontId="5" fillId="0" borderId="0" xfId="0" applyNumberFormat="1" applyFont="1" applyFill="1" applyAlignment="1">
      <alignment horizontal="right" vertical="top" wrapText="1"/>
    </xf>
    <xf numFmtId="41" fontId="14" fillId="0" borderId="10" xfId="0" applyNumberFormat="1" applyFont="1" applyBorder="1" applyAlignment="1">
      <alignment horizontal="right"/>
    </xf>
    <xf numFmtId="172" fontId="14" fillId="0" borderId="0" xfId="42" applyNumberFormat="1" applyFont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3" fontId="5" fillId="0" borderId="0" xfId="42" applyFont="1" applyFill="1" applyBorder="1" applyAlignment="1">
      <alignment horizontal="right"/>
    </xf>
    <xf numFmtId="3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58" applyFont="1" applyFill="1" applyAlignment="1">
      <alignment horizontal="left" vertical="top" wrapText="1"/>
      <protection/>
    </xf>
    <xf numFmtId="41" fontId="5" fillId="0" borderId="0" xfId="0" applyNumberFormat="1" applyFont="1" applyAlignment="1">
      <alignment horizontal="right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/>
    </xf>
    <xf numFmtId="172" fontId="14" fillId="0" borderId="0" xfId="42" applyNumberFormat="1" applyFont="1" applyAlignment="1">
      <alignment/>
    </xf>
    <xf numFmtId="37" fontId="84" fillId="0" borderId="0" xfId="0" applyNumberFormat="1" applyFont="1" applyBorder="1" applyAlignment="1">
      <alignment horizontal="right"/>
    </xf>
    <xf numFmtId="37" fontId="84" fillId="0" borderId="0" xfId="0" applyNumberFormat="1" applyFont="1" applyAlignment="1">
      <alignment horizontal="right"/>
    </xf>
    <xf numFmtId="0" fontId="85" fillId="0" borderId="0" xfId="0" applyFont="1" applyFill="1" applyAlignment="1">
      <alignment vertical="top" wrapText="1"/>
    </xf>
    <xf numFmtId="172" fontId="86" fillId="0" borderId="0" xfId="42" applyNumberFormat="1" applyFont="1" applyFill="1" applyAlignment="1">
      <alignment horizontal="right" vertical="top" wrapText="1"/>
    </xf>
    <xf numFmtId="172" fontId="85" fillId="0" borderId="0" xfId="42" applyNumberFormat="1" applyFont="1" applyFill="1" applyAlignment="1">
      <alignment horizontal="right" vertical="top" wrapText="1"/>
    </xf>
    <xf numFmtId="172" fontId="86" fillId="0" borderId="0" xfId="42" applyNumberFormat="1" applyFont="1" applyFill="1" applyAlignment="1">
      <alignment/>
    </xf>
    <xf numFmtId="0" fontId="86" fillId="0" borderId="0" xfId="0" applyFont="1" applyFill="1" applyAlignment="1">
      <alignment/>
    </xf>
    <xf numFmtId="172" fontId="86" fillId="0" borderId="0" xfId="0" applyNumberFormat="1" applyFont="1" applyFill="1" applyAlignment="1">
      <alignment/>
    </xf>
    <xf numFmtId="172" fontId="5" fillId="0" borderId="0" xfId="42" applyNumberFormat="1" applyFont="1" applyFill="1" applyAlignment="1">
      <alignment horizontal="right" vertical="top" wrapText="1"/>
    </xf>
    <xf numFmtId="172" fontId="5" fillId="0" borderId="11" xfId="42" applyNumberFormat="1" applyFont="1" applyFill="1" applyBorder="1" applyAlignment="1">
      <alignment horizontal="right" vertical="top" wrapText="1"/>
    </xf>
    <xf numFmtId="172" fontId="4" fillId="0" borderId="0" xfId="42" applyNumberFormat="1" applyFont="1" applyFill="1" applyAlignment="1">
      <alignment horizontal="right" vertical="top" wrapText="1"/>
    </xf>
    <xf numFmtId="172" fontId="5" fillId="0" borderId="10" xfId="42" applyNumberFormat="1" applyFont="1" applyFill="1" applyBorder="1" applyAlignment="1">
      <alignment horizontal="right" vertical="top" wrapText="1"/>
    </xf>
    <xf numFmtId="172" fontId="4" fillId="0" borderId="10" xfId="42" applyNumberFormat="1" applyFont="1" applyFill="1" applyBorder="1" applyAlignment="1">
      <alignment horizontal="right" vertical="top" wrapText="1"/>
    </xf>
    <xf numFmtId="172" fontId="5" fillId="0" borderId="0" xfId="42" applyNumberFormat="1" applyFont="1" applyFill="1" applyBorder="1" applyAlignment="1">
      <alignment horizontal="right" vertical="top" wrapText="1"/>
    </xf>
    <xf numFmtId="172" fontId="4" fillId="0" borderId="10" xfId="42" applyNumberFormat="1" applyFont="1" applyFill="1" applyBorder="1" applyAlignment="1">
      <alignment vertical="top" wrapText="1"/>
    </xf>
    <xf numFmtId="172" fontId="5" fillId="0" borderId="0" xfId="42" applyNumberFormat="1" applyFont="1" applyFill="1" applyAlignment="1">
      <alignment/>
    </xf>
    <xf numFmtId="172" fontId="4" fillId="0" borderId="12" xfId="42" applyNumberFormat="1" applyFont="1" applyFill="1" applyBorder="1" applyAlignment="1">
      <alignment horizontal="right" vertical="top" wrapText="1"/>
    </xf>
    <xf numFmtId="172" fontId="5" fillId="0" borderId="10" xfId="42" applyNumberFormat="1" applyFont="1" applyFill="1" applyBorder="1" applyAlignment="1">
      <alignment/>
    </xf>
    <xf numFmtId="172" fontId="4" fillId="0" borderId="14" xfId="0" applyNumberFormat="1" applyFont="1" applyFill="1" applyBorder="1" applyAlignment="1">
      <alignment/>
    </xf>
    <xf numFmtId="37" fontId="5" fillId="33" borderId="0" xfId="0" applyNumberFormat="1" applyFont="1" applyFill="1" applyAlignment="1">
      <alignment horizontal="right"/>
    </xf>
    <xf numFmtId="0" fontId="87" fillId="0" borderId="0" xfId="0" applyFont="1" applyFill="1" applyAlignment="1">
      <alignment/>
    </xf>
    <xf numFmtId="0" fontId="85" fillId="0" borderId="0" xfId="0" applyFont="1" applyFill="1" applyBorder="1" applyAlignment="1">
      <alignment/>
    </xf>
    <xf numFmtId="0" fontId="85" fillId="0" borderId="0" xfId="0" applyFont="1" applyFill="1" applyAlignment="1">
      <alignment/>
    </xf>
    <xf numFmtId="172" fontId="86" fillId="0" borderId="11" xfId="42" applyNumberFormat="1" applyFont="1" applyFill="1" applyBorder="1" applyAlignment="1">
      <alignment horizontal="right" vertical="top" wrapText="1"/>
    </xf>
    <xf numFmtId="172" fontId="86" fillId="0" borderId="10" xfId="42" applyNumberFormat="1" applyFont="1" applyFill="1" applyBorder="1" applyAlignment="1">
      <alignment horizontal="right" vertical="top" wrapText="1"/>
    </xf>
    <xf numFmtId="172" fontId="86" fillId="0" borderId="0" xfId="42" applyNumberFormat="1" applyFont="1" applyBorder="1" applyAlignment="1">
      <alignment horizontal="right" vertical="top" wrapText="1"/>
    </xf>
    <xf numFmtId="0" fontId="4" fillId="34" borderId="18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14" fillId="0" borderId="0" xfId="0" applyFont="1" applyAlignment="1">
      <alignment wrapText="1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justify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1" fillId="34" borderId="18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justify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Copy of cash_flow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bursamalaysia.com/Users\user\AppData\Local\Microsoft\Windows\Temporary%20Internet%20Files\Content.Outlook\U7GWVCF3\link%20Handal%20Group%20cashflow%20to%20BS%20&amp;%20PL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Consol%20Cashflow%20working%2031.12.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bursamalaysia.com/edms/edmswebh.nsf/8b25383a269fcce548256d79001af770/482576120041bdaa482577890036b73b/$FILE/Handal%20Group%20perf9.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bursamalaysia.com/edms/edmswebh.nsf/8b25383a269fcce548256d79001af770/482576120041bdaa482577890036b73b/$FILE/HRB%20Mar10-latest\HRB%20Consol%20%2003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bursamalaysia.com/Documents%20and%20Settings\Shazarina\Desktop\Consol%20Cashflow\HRBcashflow.Mar10\HRB%20Gp.BS,PL,Cashflow%20Q12010-rin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Consol%20Cashflow%20working%2031.03.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onsol%20Cashflow%20working%2030.06.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HRB\rina\CONSOL\2013\Sept%20%202013\HRB%20perf09.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Consol%20Cashflow%20working%2030.09.1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HRB\rina\CONSOL\2013\Dec%202013\Group%20Consol%20Dec%2013%20w%20Mi%20ad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BS"/>
      <sheetName val="NBV"/>
      <sheetName val="acq of sub."/>
      <sheetName val="Income st"/>
      <sheetName val="cf.reference"/>
      <sheetName val="cashflow."/>
      <sheetName val="DSCR"/>
    </sheetNames>
    <sheetDataSet>
      <sheetData sheetId="6">
        <row r="8">
          <cell r="D8">
            <v>3491.3136340504434</v>
          </cell>
        </row>
        <row r="12">
          <cell r="D12">
            <v>363.5</v>
          </cell>
        </row>
        <row r="13">
          <cell r="D13">
            <v>265</v>
          </cell>
        </row>
        <row r="14">
          <cell r="D14">
            <v>7.4</v>
          </cell>
        </row>
        <row r="15">
          <cell r="D15">
            <v>0</v>
          </cell>
        </row>
        <row r="16">
          <cell r="D16">
            <v>-97</v>
          </cell>
        </row>
        <row r="17">
          <cell r="D17">
            <v>-1123.228034050444</v>
          </cell>
        </row>
        <row r="22">
          <cell r="D22">
            <v>0</v>
          </cell>
        </row>
        <row r="23">
          <cell r="D23">
            <v>-867.4733900000028</v>
          </cell>
        </row>
        <row r="24">
          <cell r="D24">
            <v>78.74748</v>
          </cell>
        </row>
        <row r="25">
          <cell r="D25">
            <v>669.1108099999999</v>
          </cell>
        </row>
        <row r="26">
          <cell r="D26">
            <v>1842.1404200000015</v>
          </cell>
        </row>
        <row r="27">
          <cell r="D27">
            <v>-2514.1371799999997</v>
          </cell>
        </row>
        <row r="31">
          <cell r="D31">
            <v>-363.5</v>
          </cell>
        </row>
        <row r="32">
          <cell r="D32">
            <v>-552.8730440504394</v>
          </cell>
        </row>
        <row r="37">
          <cell r="D37">
            <v>15849.791570000001</v>
          </cell>
        </row>
        <row r="38">
          <cell r="D38">
            <v>97</v>
          </cell>
        </row>
        <row r="39">
          <cell r="D39">
            <v>0</v>
          </cell>
        </row>
        <row r="40">
          <cell r="D40">
            <v>-1047.900669999999</v>
          </cell>
        </row>
        <row r="46">
          <cell r="D46">
            <v>-978</v>
          </cell>
        </row>
        <row r="47">
          <cell r="D47">
            <v>-2</v>
          </cell>
        </row>
        <row r="48">
          <cell r="D48">
            <v>-4.5</v>
          </cell>
        </row>
        <row r="49">
          <cell r="D49">
            <v>-13.609679999999997</v>
          </cell>
        </row>
        <row r="50">
          <cell r="D50">
            <v>-36</v>
          </cell>
        </row>
        <row r="52">
          <cell r="D52">
            <v>-637.5</v>
          </cell>
        </row>
        <row r="58">
          <cell r="D58">
            <v>0.002</v>
          </cell>
        </row>
        <row r="65">
          <cell r="D65">
            <v>24215.425580000003</v>
          </cell>
        </row>
        <row r="66">
          <cell r="D66">
            <v>3321.387730000001</v>
          </cell>
        </row>
        <row r="67">
          <cell r="D67">
            <v>-5084</v>
          </cell>
        </row>
        <row r="69">
          <cell r="D69">
            <v>-8027.46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heet2"/>
      <sheetName val="1conso-YTD"/>
      <sheetName val="hesb.consol"/>
      <sheetName val="Notes"/>
      <sheetName val="JV"/>
      <sheetName val="2CF-YTD"/>
      <sheetName val="3PPE SCH"/>
      <sheetName val="4PPE movement"/>
      <sheetName val="5INTEST"/>
      <sheetName val="6BRRW"/>
      <sheetName val="7TAX"/>
      <sheetName val="Bank Bal"/>
      <sheetName val="8work.GW.MI.RE"/>
      <sheetName val="1conso-YTD (Final)"/>
      <sheetName val="1conso-YTD (Q4_Announcement)"/>
      <sheetName val="JV (2)"/>
      <sheetName val="BSheet"/>
      <sheetName val="IS"/>
      <sheetName val="CashFlow"/>
      <sheetName val="CF Workings"/>
      <sheetName val="sample work.GW"/>
      <sheetName val="9Dis or acq of subsi"/>
      <sheetName val="Amt due to contractors"/>
      <sheetName val="10Stmt of gain on disposal su"/>
      <sheetName val="Consol0313"/>
      <sheetName val="BSheet0313"/>
      <sheetName val="IS0313"/>
      <sheetName val="Cashflow0313"/>
      <sheetName val="CF Wrkg 0313"/>
      <sheetName val="Consol0613"/>
      <sheetName val="BSheet0613"/>
      <sheetName val="IS0613"/>
      <sheetName val="Cashflow0613"/>
      <sheetName val="CF Wrkg 0613"/>
      <sheetName val="Consol0913"/>
      <sheetName val="BSheet0913"/>
      <sheetName val="IS0913"/>
      <sheetName val="Cashflow0913"/>
      <sheetName val="CF Wrkg 0913"/>
      <sheetName val="Consol1213"/>
      <sheetName val="BSheet1213"/>
      <sheetName val="IS1213"/>
      <sheetName val="Cashflow1213"/>
      <sheetName val="CF Wrkg 1213"/>
    </sheetNames>
    <sheetDataSet>
      <sheetData sheetId="43">
        <row r="6">
          <cell r="C6">
            <v>6472.912758239135</v>
          </cell>
        </row>
        <row r="18">
          <cell r="J18">
            <v>5634.25628381361</v>
          </cell>
        </row>
        <row r="20">
          <cell r="C20">
            <v>-1209</v>
          </cell>
        </row>
        <row r="21">
          <cell r="C21">
            <v>-7765.66999</v>
          </cell>
        </row>
        <row r="22">
          <cell r="C22">
            <v>-6340.028570248102</v>
          </cell>
        </row>
        <row r="23">
          <cell r="C23">
            <v>8438</v>
          </cell>
        </row>
        <row r="24">
          <cell r="C24">
            <v>4819.133650000001</v>
          </cell>
        </row>
        <row r="27">
          <cell r="C27">
            <v>-112.77533</v>
          </cell>
        </row>
        <row r="29">
          <cell r="C29">
            <v>-1695.7215</v>
          </cell>
        </row>
        <row r="34">
          <cell r="C34">
            <v>19.969510000000003</v>
          </cell>
        </row>
        <row r="35">
          <cell r="C35">
            <v>187.72688</v>
          </cell>
        </row>
        <row r="36">
          <cell r="C36">
            <v>125.73703</v>
          </cell>
        </row>
        <row r="37">
          <cell r="C37">
            <v>754.8952700000009</v>
          </cell>
        </row>
        <row r="38">
          <cell r="C38">
            <v>-6376.242039999999</v>
          </cell>
        </row>
        <row r="44">
          <cell r="C44">
            <v>103</v>
          </cell>
        </row>
        <row r="46">
          <cell r="C46">
            <v>-1598</v>
          </cell>
        </row>
        <row r="47">
          <cell r="C47">
            <v>-2598.22467</v>
          </cell>
        </row>
        <row r="49">
          <cell r="C49">
            <v>713</v>
          </cell>
        </row>
        <row r="51">
          <cell r="C51">
            <v>-6993</v>
          </cell>
        </row>
        <row r="52">
          <cell r="C52">
            <v>-219.07</v>
          </cell>
        </row>
        <row r="57">
          <cell r="C57">
            <v>11027.686000000003</v>
          </cell>
        </row>
        <row r="62">
          <cell r="C62">
            <v>5660</v>
          </cell>
        </row>
        <row r="63">
          <cell r="C63">
            <v>18078</v>
          </cell>
        </row>
        <row r="66">
          <cell r="C66">
            <v>-6239</v>
          </cell>
        </row>
        <row r="67">
          <cell r="C67">
            <v>-14102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jor customers"/>
      <sheetName val="major suppliers"/>
      <sheetName val="CPL"/>
      <sheetName val="P &amp; L.HOSSB"/>
      <sheetName val="CBS"/>
      <sheetName val="Bal Sheet.HOSSB"/>
      <sheetName val="cashflow.Gp"/>
      <sheetName val="cashflow state HOSSB"/>
      <sheetName val="Segment P &amp; L"/>
      <sheetName val="segm rep.6mth"/>
      <sheetName val="segm rep."/>
      <sheetName val="utilise ipo"/>
      <sheetName val="related party.qTR"/>
      <sheetName val="RPT"/>
      <sheetName val="Sheet1"/>
      <sheetName val="taxation"/>
      <sheetName val="financial result"/>
      <sheetName val="pre &amp; post acq profit"/>
      <sheetName val="borrow.debt security"/>
      <sheetName val="EPS"/>
      <sheetName val="segm p &amp;l .jun09Adj"/>
      <sheetName val="segm p &amp;l .2 mths"/>
      <sheetName val="weighted avr share"/>
      <sheetName val="EPS."/>
      <sheetName val="seg p&amp;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1conso-YTD"/>
      <sheetName val="hesb.consol"/>
      <sheetName val="JV"/>
      <sheetName val="2CF-YTD"/>
      <sheetName val="3PPE SCH"/>
      <sheetName val="4PPE movement"/>
      <sheetName val="5INTEST"/>
      <sheetName val="6BRRW"/>
      <sheetName val="7TAX"/>
      <sheetName val="8work.GW.MI.RE"/>
      <sheetName val="sample work.GW"/>
      <sheetName val="9Dis or acq of subsi"/>
      <sheetName val="Amt due to contractors"/>
      <sheetName val="10Stmt of gain on disposal su"/>
    </sheetNames>
    <sheetDataSet>
      <sheetData sheetId="1">
        <row r="65">
          <cell r="N65">
            <v>27678.76659</v>
          </cell>
        </row>
        <row r="71">
          <cell r="N71">
            <v>373.97199</v>
          </cell>
        </row>
        <row r="75">
          <cell r="N75">
            <v>5239.74082</v>
          </cell>
        </row>
        <row r="76">
          <cell r="N76">
            <v>199</v>
          </cell>
        </row>
        <row r="77">
          <cell r="N77">
            <v>17984.309699999994</v>
          </cell>
        </row>
        <row r="78">
          <cell r="N78">
            <v>18688.837959999997</v>
          </cell>
        </row>
        <row r="80">
          <cell r="N80">
            <v>597.3788499999999</v>
          </cell>
        </row>
        <row r="81">
          <cell r="N81">
            <v>35</v>
          </cell>
        </row>
        <row r="82">
          <cell r="N82">
            <v>29349.86621</v>
          </cell>
        </row>
        <row r="83">
          <cell r="N83">
            <v>3943.64952</v>
          </cell>
        </row>
        <row r="95">
          <cell r="N95">
            <v>45000</v>
          </cell>
        </row>
        <row r="98">
          <cell r="N98">
            <v>12097.421649</v>
          </cell>
        </row>
        <row r="101">
          <cell r="N101">
            <v>-2.369579</v>
          </cell>
        </row>
        <row r="106">
          <cell r="N106">
            <v>128</v>
          </cell>
        </row>
        <row r="107">
          <cell r="N107">
            <v>21845.727010000002</v>
          </cell>
        </row>
        <row r="108">
          <cell r="N108">
            <v>1143.5</v>
          </cell>
        </row>
        <row r="111">
          <cell r="N111">
            <v>8518.03714</v>
          </cell>
        </row>
        <row r="112">
          <cell r="N112">
            <v>2186.2584</v>
          </cell>
        </row>
        <row r="113">
          <cell r="N113">
            <v>311.98563</v>
          </cell>
        </row>
        <row r="114">
          <cell r="N114">
            <v>12328.228550000002</v>
          </cell>
        </row>
        <row r="115">
          <cell r="N115">
            <v>1489.59725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PL"/>
      <sheetName val="CBS12.09"/>
      <sheetName val="CBS3.10"/>
      <sheetName val="BS.VAR"/>
      <sheetName val="Sheet1"/>
      <sheetName val="cashflow."/>
    </sheetNames>
    <sheetDataSet>
      <sheetData sheetId="5">
        <row r="8">
          <cell r="U8">
            <v>2912</v>
          </cell>
        </row>
        <row r="21">
          <cell r="U21">
            <v>3906</v>
          </cell>
        </row>
        <row r="23">
          <cell r="U23">
            <v>312.60903000000053</v>
          </cell>
        </row>
        <row r="24">
          <cell r="U24">
            <v>-1741.777379999996</v>
          </cell>
        </row>
        <row r="25">
          <cell r="U25">
            <v>-1991.7909599999984</v>
          </cell>
        </row>
        <row r="26">
          <cell r="U26">
            <v>770.346</v>
          </cell>
        </row>
        <row r="27">
          <cell r="U27">
            <v>8.91215000000011</v>
          </cell>
        </row>
        <row r="28">
          <cell r="U28">
            <v>-230.72018999999818</v>
          </cell>
        </row>
        <row r="29">
          <cell r="U29">
            <v>-780.1700500000002</v>
          </cell>
        </row>
        <row r="32">
          <cell r="U32">
            <v>254.40860000000794</v>
          </cell>
        </row>
        <row r="34">
          <cell r="R34">
            <v>-43</v>
          </cell>
        </row>
        <row r="35">
          <cell r="R35">
            <v>-832</v>
          </cell>
        </row>
        <row r="37">
          <cell r="U37">
            <v>-620.5913999999921</v>
          </cell>
        </row>
        <row r="41">
          <cell r="U41">
            <v>93</v>
          </cell>
        </row>
        <row r="42">
          <cell r="U42">
            <v>53</v>
          </cell>
        </row>
        <row r="45">
          <cell r="U45">
            <v>-1142</v>
          </cell>
        </row>
        <row r="48">
          <cell r="U48">
            <v>-996</v>
          </cell>
        </row>
        <row r="51">
          <cell r="U51">
            <v>-1007.242</v>
          </cell>
        </row>
        <row r="53">
          <cell r="U53">
            <v>-15</v>
          </cell>
        </row>
        <row r="54">
          <cell r="U54">
            <v>-440</v>
          </cell>
        </row>
        <row r="55">
          <cell r="U55">
            <v>-161.806</v>
          </cell>
        </row>
        <row r="63">
          <cell r="U63">
            <v>-1267.048</v>
          </cell>
        </row>
        <row r="65">
          <cell r="U65">
            <v>-2883.639399999992</v>
          </cell>
        </row>
        <row r="67">
          <cell r="U67">
            <v>18800</v>
          </cell>
        </row>
        <row r="69">
          <cell r="U69">
            <v>15916.360600000007</v>
          </cell>
        </row>
        <row r="75">
          <cell r="N75">
            <v>29350</v>
          </cell>
        </row>
        <row r="76">
          <cell r="N76">
            <v>3944</v>
          </cell>
        </row>
        <row r="77">
          <cell r="N77">
            <v>-8541</v>
          </cell>
        </row>
        <row r="78">
          <cell r="N78">
            <v>24753</v>
          </cell>
        </row>
        <row r="79">
          <cell r="N79">
            <v>-8843</v>
          </cell>
        </row>
        <row r="80">
          <cell r="N80">
            <v>15910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heet2"/>
      <sheetName val="1conso-YTD"/>
      <sheetName val="hesb.consol"/>
      <sheetName val="Notes"/>
      <sheetName val="JV"/>
      <sheetName val="2CF-YTD"/>
      <sheetName val="3PPE SCH"/>
      <sheetName val="4PPE movement"/>
      <sheetName val="5INTEST"/>
      <sheetName val="6BRRW"/>
      <sheetName val="7TAX"/>
      <sheetName val="Bank Bal"/>
      <sheetName val="8work.GW.MI.RE"/>
      <sheetName val="1conso-YTD (Final)"/>
      <sheetName val="1conso-YTD (Q4_Announcement)"/>
      <sheetName val="JV (2)"/>
      <sheetName val="BSheet"/>
      <sheetName val="IS"/>
      <sheetName val="CashFlow"/>
      <sheetName val="CF Workings"/>
      <sheetName val="sample work.GW"/>
      <sheetName val="9Dis or acq of subsi"/>
      <sheetName val="Amt due to contractors"/>
      <sheetName val="10Stmt of gain on disposal su"/>
      <sheetName val="Consol0313"/>
      <sheetName val="BSheet0313"/>
      <sheetName val="IS0313"/>
      <sheetName val="Cashflow0313"/>
      <sheetName val="CF Wrkg 0313"/>
    </sheetNames>
    <sheetDataSet>
      <sheetData sheetId="28">
        <row r="25">
          <cell r="C25">
            <v>0</v>
          </cell>
        </row>
        <row r="57">
          <cell r="C57">
            <v>11027.686000000003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heet2"/>
      <sheetName val="1conso-YTD"/>
      <sheetName val="hesb.consol"/>
      <sheetName val="Notes"/>
      <sheetName val="JV"/>
      <sheetName val="2CF-YTD"/>
      <sheetName val="3PPE SCH"/>
      <sheetName val="4PPE movement"/>
      <sheetName val="5INTEST"/>
      <sheetName val="6BRRW"/>
      <sheetName val="7TAX"/>
      <sheetName val="Bank Bal"/>
      <sheetName val="8work.GW.MI.RE"/>
      <sheetName val="1conso-YTD (Final)"/>
      <sheetName val="1conso-YTD (Q4_Announcement)"/>
      <sheetName val="JV (2)"/>
      <sheetName val="BSheet"/>
      <sheetName val="IS"/>
      <sheetName val="CashFlow"/>
      <sheetName val="CF Workings"/>
      <sheetName val="sample work.GW"/>
      <sheetName val="9Dis or acq of subsi"/>
      <sheetName val="Amt due to contractors"/>
      <sheetName val="10Stmt of gain on disposal su"/>
      <sheetName val="Consol0313"/>
      <sheetName val="BSheet0313"/>
      <sheetName val="IS0313"/>
      <sheetName val="Cashflow0313"/>
      <sheetName val="CF Wrkg 0313"/>
      <sheetName val="Consol0613"/>
      <sheetName val="BSheet0613"/>
      <sheetName val="IS0613"/>
      <sheetName val="Cashflow0613"/>
      <sheetName val="CF Wrkg 0613"/>
    </sheetNames>
    <sheetDataSet>
      <sheetData sheetId="33">
        <row r="6">
          <cell r="C6">
            <v>670.6215750020297</v>
          </cell>
        </row>
        <row r="18">
          <cell r="J18">
            <v>1987.8980427333336</v>
          </cell>
        </row>
        <row r="20">
          <cell r="C20">
            <v>-499</v>
          </cell>
        </row>
        <row r="21">
          <cell r="C21">
            <v>-6579</v>
          </cell>
        </row>
        <row r="22">
          <cell r="C22">
            <v>-244.1172085712019</v>
          </cell>
        </row>
        <row r="23">
          <cell r="C23">
            <v>4102</v>
          </cell>
        </row>
        <row r="24">
          <cell r="C24">
            <v>2350.102107030795</v>
          </cell>
        </row>
        <row r="27">
          <cell r="C27">
            <v>-112.77533</v>
          </cell>
        </row>
        <row r="29">
          <cell r="C29">
            <v>-1005</v>
          </cell>
        </row>
        <row r="34">
          <cell r="C34">
            <v>12.656439999999998</v>
          </cell>
        </row>
        <row r="35">
          <cell r="C35">
            <v>127.52656</v>
          </cell>
        </row>
        <row r="36">
          <cell r="C36">
            <v>79.31141000000001</v>
          </cell>
        </row>
        <row r="37">
          <cell r="C37">
            <v>2090.0843300000015</v>
          </cell>
        </row>
        <row r="38">
          <cell r="C38">
            <v>-5791.46975</v>
          </cell>
        </row>
        <row r="39">
          <cell r="C39">
            <v>5.00786</v>
          </cell>
        </row>
        <row r="44">
          <cell r="C44">
            <v>-32.1853</v>
          </cell>
        </row>
        <row r="46">
          <cell r="C46">
            <v>-1598</v>
          </cell>
        </row>
        <row r="47">
          <cell r="C47">
            <v>-624.3929699999999</v>
          </cell>
        </row>
        <row r="49">
          <cell r="C49">
            <v>-275</v>
          </cell>
        </row>
        <row r="51">
          <cell r="C51">
            <v>-3355</v>
          </cell>
        </row>
        <row r="52">
          <cell r="C52">
            <v>-67</v>
          </cell>
        </row>
        <row r="58">
          <cell r="C58">
            <v>5.426444559994707</v>
          </cell>
        </row>
        <row r="62">
          <cell r="C62">
            <v>7811</v>
          </cell>
        </row>
        <row r="63">
          <cell r="C63">
            <v>16318</v>
          </cell>
        </row>
        <row r="66">
          <cell r="C66">
            <v>-9086</v>
          </cell>
        </row>
        <row r="67">
          <cell r="C67">
            <v>-12766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jor customers"/>
      <sheetName val="major suppliers"/>
      <sheetName val="CPL"/>
      <sheetName val="CPL.09"/>
      <sheetName val="P &amp; L.HOSSB"/>
      <sheetName val="Bal Sheet.HOSSB"/>
      <sheetName val="cashflow.Gp"/>
      <sheetName val="cashflow state HOSSB"/>
      <sheetName val="BS.hossb.1211"/>
      <sheetName val="IPO.1211."/>
      <sheetName val="IPO .det.1211"/>
      <sheetName val="RI"/>
      <sheetName val="Sheet5"/>
      <sheetName val="Segment P &amp; L"/>
      <sheetName val="Sheet2"/>
      <sheetName val="segm rep."/>
      <sheetName val="related party.qTR"/>
      <sheetName val="mandate rpt"/>
      <sheetName val="taxation"/>
      <sheetName val="Gp financial result"/>
      <sheetName val="pre &amp; post acq profit"/>
      <sheetName val="borrow.debt security"/>
      <sheetName val="Gross int income"/>
      <sheetName val="P &amp; l.1211"/>
      <sheetName val="EPS"/>
      <sheetName val="segm p &amp;l .jun09Adj"/>
      <sheetName val="segm p &amp;l .2 mths"/>
      <sheetName val="weighted avr share"/>
      <sheetName val="EPS."/>
      <sheetName val="seg p &amp;l.11"/>
      <sheetName val="seg p&amp;l.10"/>
      <sheetName val="Sheet1"/>
      <sheetName val="P &amp; L.JAN09"/>
      <sheetName val="Sheet4"/>
      <sheetName val="weighted avr share-r"/>
      <sheetName val="Weighted avr share-rs"/>
      <sheetName val="Sheet3"/>
    </sheetNames>
    <sheetDataSet>
      <sheetData sheetId="35">
        <row r="23">
          <cell r="C23">
            <v>160000000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heet2"/>
      <sheetName val="1conso-YTD"/>
      <sheetName val="hesb.consol"/>
      <sheetName val="Notes"/>
      <sheetName val="JV"/>
      <sheetName val="2CF-YTD"/>
      <sheetName val="3PPE SCH"/>
      <sheetName val="4PPE movement"/>
      <sheetName val="5INTEST"/>
      <sheetName val="6BRRW"/>
      <sheetName val="7TAX"/>
      <sheetName val="Bank Bal"/>
      <sheetName val="8work.GW.MI.RE"/>
      <sheetName val="1conso-YTD (Final)"/>
      <sheetName val="1conso-YTD (Q4_Announcement)"/>
      <sheetName val="JV (2)"/>
      <sheetName val="BSheet"/>
      <sheetName val="IS"/>
      <sheetName val="CashFlow"/>
      <sheetName val="CF Workings"/>
      <sheetName val="sample work.GW"/>
      <sheetName val="9Dis or acq of subsi"/>
      <sheetName val="Amt due to contractors"/>
      <sheetName val="10Stmt of gain on disposal su"/>
      <sheetName val="Consol0313"/>
      <sheetName val="BSheet0313"/>
      <sheetName val="IS0313"/>
      <sheetName val="Cashflow0313"/>
      <sheetName val="CF Wrkg 0313"/>
      <sheetName val="Consol0613"/>
      <sheetName val="BSheet0613"/>
      <sheetName val="IS0613"/>
      <sheetName val="Cashflow0613"/>
      <sheetName val="CF Wrkg 0613"/>
      <sheetName val="Consol0913"/>
      <sheetName val="BSheet0913"/>
      <sheetName val="IS0913"/>
      <sheetName val="Cashflow0913"/>
      <sheetName val="CF Wrkg 0913"/>
      <sheetName val="Sheet1"/>
    </sheetNames>
    <sheetDataSet>
      <sheetData sheetId="38">
        <row r="40">
          <cell r="C40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heet2"/>
      <sheetName val="1conso-YTD"/>
      <sheetName val="hesb.consol"/>
      <sheetName val="Notes"/>
      <sheetName val="JV"/>
      <sheetName val="2CF-YTD"/>
      <sheetName val="3PPE SCH"/>
      <sheetName val="4PPE movement"/>
      <sheetName val="5INTEST"/>
      <sheetName val="6BRRW"/>
      <sheetName val="7TAX"/>
      <sheetName val="Bank Bal"/>
      <sheetName val="8work.GW.MI.RE"/>
      <sheetName val="1conso-YTD (2)"/>
      <sheetName val="JV (2)"/>
      <sheetName val="sample work.GW"/>
      <sheetName val="9Dis or acq of subsi"/>
      <sheetName val="Amt due to contractors"/>
      <sheetName val="10Stmt of gain on disposal su"/>
      <sheetName val="MI Handrill"/>
      <sheetName val="MI HOEM"/>
    </sheetNames>
    <sheetDataSet>
      <sheetData sheetId="14">
        <row r="13">
          <cell r="V13">
            <v>99898.84112998159</v>
          </cell>
        </row>
        <row r="14">
          <cell r="V14">
            <v>-62168.198484083085</v>
          </cell>
        </row>
        <row r="17">
          <cell r="V17">
            <v>1146.6178713284999</v>
          </cell>
        </row>
        <row r="19">
          <cell r="V19">
            <v>-22638.0779646915</v>
          </cell>
        </row>
        <row r="20">
          <cell r="V20">
            <v>-4050.1836104827607</v>
          </cell>
        </row>
        <row r="21">
          <cell r="V21">
            <v>-3006.2864938136104</v>
          </cell>
        </row>
        <row r="26">
          <cell r="V26">
            <v>-2710.5366899999995</v>
          </cell>
        </row>
        <row r="29">
          <cell r="V29">
            <v>-4437.4580000000005</v>
          </cell>
        </row>
        <row r="31">
          <cell r="V31">
            <v>34.477</v>
          </cell>
        </row>
        <row r="70">
          <cell r="V70">
            <v>68081.44316002988</v>
          </cell>
        </row>
        <row r="72">
          <cell r="V72">
            <v>11958.567</v>
          </cell>
        </row>
        <row r="75">
          <cell r="V75">
            <v>1.434</v>
          </cell>
        </row>
        <row r="77">
          <cell r="V77">
            <v>370.6</v>
          </cell>
        </row>
        <row r="78">
          <cell r="V78">
            <v>373.969</v>
          </cell>
        </row>
        <row r="83">
          <cell r="V83">
            <v>9559.94959</v>
          </cell>
        </row>
        <row r="84">
          <cell r="V84">
            <v>17097.91923</v>
          </cell>
        </row>
        <row r="87">
          <cell r="V87">
            <v>921.5115900000002</v>
          </cell>
        </row>
        <row r="88">
          <cell r="V88">
            <v>685.9768931661131</v>
          </cell>
        </row>
        <row r="91">
          <cell r="V91">
            <v>33142.5311002481</v>
          </cell>
        </row>
        <row r="93">
          <cell r="V93">
            <v>64.11019</v>
          </cell>
        </row>
        <row r="94">
          <cell r="V94">
            <v>563.20161</v>
          </cell>
        </row>
        <row r="95">
          <cell r="V95">
            <v>6.5</v>
          </cell>
        </row>
        <row r="109">
          <cell r="V109">
            <v>2090.35506</v>
          </cell>
        </row>
        <row r="110">
          <cell r="V110">
            <v>176.24378</v>
          </cell>
        </row>
        <row r="111">
          <cell r="V111">
            <v>14101.53573</v>
          </cell>
        </row>
        <row r="112">
          <cell r="V112">
            <v>3976.0473265950154</v>
          </cell>
        </row>
        <row r="113">
          <cell r="V113">
            <v>5483.89775</v>
          </cell>
        </row>
        <row r="122">
          <cell r="V122">
            <v>79999.99999999999</v>
          </cell>
        </row>
        <row r="123">
          <cell r="V123">
            <v>0</v>
          </cell>
        </row>
        <row r="125">
          <cell r="V125">
            <v>28.99172</v>
          </cell>
        </row>
        <row r="126">
          <cell r="V126">
            <v>18031.66793015178</v>
          </cell>
        </row>
        <row r="127">
          <cell r="V127">
            <v>2660.465</v>
          </cell>
        </row>
        <row r="129">
          <cell r="V129">
            <v>4.881493599999994</v>
          </cell>
        </row>
        <row r="134">
          <cell r="V134">
            <v>131.92743</v>
          </cell>
        </row>
        <row r="135">
          <cell r="V135">
            <v>25086.42121</v>
          </cell>
        </row>
        <row r="136">
          <cell r="V136">
            <v>3298.5759999999996</v>
          </cell>
        </row>
        <row r="139">
          <cell r="V139">
            <v>2583</v>
          </cell>
        </row>
        <row r="142">
          <cell r="V142">
            <v>17462.08457</v>
          </cell>
        </row>
        <row r="143">
          <cell r="V143">
            <v>3267.5730800000006</v>
          </cell>
        </row>
        <row r="144">
          <cell r="V144">
            <v>110.78</v>
          </cell>
        </row>
        <row r="153">
          <cell r="V153">
            <v>118.97192999999999</v>
          </cell>
        </row>
        <row r="154">
          <cell r="V154">
            <v>14721.08559</v>
          </cell>
        </row>
        <row r="155">
          <cell r="V155">
            <v>1148.865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5"/>
  <sheetViews>
    <sheetView tabSelected="1" zoomScalePageLayoutView="0" workbookViewId="0" topLeftCell="A8">
      <selection activeCell="S10" sqref="S10"/>
    </sheetView>
  </sheetViews>
  <sheetFormatPr defaultColWidth="9.140625" defaultRowHeight="12.75"/>
  <cols>
    <col min="1" max="1" width="8.8515625" style="0" customWidth="1"/>
    <col min="2" max="2" width="50.28125" style="0" customWidth="1"/>
    <col min="3" max="3" width="3.7109375" style="0" customWidth="1"/>
    <col min="4" max="4" width="19.8515625" style="0" hidden="1" customWidth="1"/>
    <col min="5" max="5" width="20.140625" style="0" hidden="1" customWidth="1"/>
    <col min="6" max="6" width="4.00390625" style="186" hidden="1" customWidth="1"/>
    <col min="7" max="8" width="21.00390625" style="0" hidden="1" customWidth="1"/>
    <col min="9" max="9" width="5.57421875" style="186" hidden="1" customWidth="1"/>
    <col min="10" max="11" width="21.00390625" style="0" hidden="1" customWidth="1"/>
    <col min="12" max="12" width="4.57421875" style="186" hidden="1" customWidth="1"/>
    <col min="13" max="14" width="21.00390625" style="0" customWidth="1"/>
    <col min="15" max="15" width="4.7109375" style="186" customWidth="1"/>
    <col min="16" max="17" width="22.140625" style="0" customWidth="1"/>
    <col min="18" max="18" width="4.140625" style="0" customWidth="1"/>
  </cols>
  <sheetData>
    <row r="1" ht="20.25">
      <c r="B1" s="6" t="s">
        <v>122</v>
      </c>
    </row>
    <row r="2" ht="12.75">
      <c r="B2" s="2"/>
    </row>
    <row r="3" spans="2:15" s="51" customFormat="1" ht="15">
      <c r="B3" s="16" t="s">
        <v>213</v>
      </c>
      <c r="F3" s="187"/>
      <c r="I3" s="187"/>
      <c r="L3" s="187"/>
      <c r="O3" s="187"/>
    </row>
    <row r="4" spans="2:18" s="51" customFormat="1" ht="15">
      <c r="B4" s="16" t="s">
        <v>277</v>
      </c>
      <c r="F4" s="187"/>
      <c r="I4" s="187"/>
      <c r="L4" s="187"/>
      <c r="O4" s="187"/>
      <c r="R4" s="85"/>
    </row>
    <row r="5" spans="2:18" s="51" customFormat="1" ht="15">
      <c r="B5" s="86"/>
      <c r="F5" s="187"/>
      <c r="I5" s="187"/>
      <c r="L5" s="187"/>
      <c r="O5" s="187"/>
      <c r="R5" s="85"/>
    </row>
    <row r="6" spans="2:18" s="51" customFormat="1" ht="21" thickBot="1">
      <c r="B6" s="16"/>
      <c r="F6" s="187"/>
      <c r="I6" s="187"/>
      <c r="L6" s="187"/>
      <c r="O6" s="187"/>
      <c r="P6" s="121"/>
      <c r="Q6" s="175"/>
      <c r="R6" s="85"/>
    </row>
    <row r="7" spans="4:18" s="51" customFormat="1" ht="15.75" thickBot="1">
      <c r="D7" s="250" t="s">
        <v>85</v>
      </c>
      <c r="E7" s="251"/>
      <c r="F7" s="168"/>
      <c r="G7" s="250" t="s">
        <v>85</v>
      </c>
      <c r="H7" s="251"/>
      <c r="I7" s="168"/>
      <c r="J7" s="250" t="s">
        <v>85</v>
      </c>
      <c r="K7" s="251"/>
      <c r="L7" s="168"/>
      <c r="M7" s="250" t="s">
        <v>85</v>
      </c>
      <c r="N7" s="251"/>
      <c r="O7" s="168"/>
      <c r="P7" s="250" t="s">
        <v>124</v>
      </c>
      <c r="Q7" s="251"/>
      <c r="R7" s="60"/>
    </row>
    <row r="8" spans="4:18" s="51" customFormat="1" ht="15">
      <c r="D8" s="168"/>
      <c r="E8" s="168"/>
      <c r="F8" s="168"/>
      <c r="I8" s="187"/>
      <c r="L8" s="187"/>
      <c r="O8" s="187"/>
      <c r="Q8" s="60"/>
      <c r="R8" s="60"/>
    </row>
    <row r="9" spans="3:18" s="51" customFormat="1" ht="12.75" customHeight="1">
      <c r="C9" s="55"/>
      <c r="D9" s="252" t="s">
        <v>136</v>
      </c>
      <c r="E9" s="252" t="s">
        <v>224</v>
      </c>
      <c r="F9" s="56"/>
      <c r="G9" s="252" t="s">
        <v>136</v>
      </c>
      <c r="H9" s="252" t="s">
        <v>224</v>
      </c>
      <c r="I9" s="56"/>
      <c r="J9" s="252" t="s">
        <v>136</v>
      </c>
      <c r="K9" s="252" t="s">
        <v>224</v>
      </c>
      <c r="L9" s="56"/>
      <c r="M9" s="252" t="s">
        <v>136</v>
      </c>
      <c r="N9" s="252" t="s">
        <v>224</v>
      </c>
      <c r="O9" s="56"/>
      <c r="P9" s="252" t="s">
        <v>227</v>
      </c>
      <c r="Q9" s="252" t="s">
        <v>223</v>
      </c>
      <c r="R9" s="60"/>
    </row>
    <row r="10" spans="3:18" s="51" customFormat="1" ht="15">
      <c r="C10" s="55"/>
      <c r="D10" s="252"/>
      <c r="E10" s="253"/>
      <c r="F10" s="187"/>
      <c r="G10" s="252"/>
      <c r="H10" s="253"/>
      <c r="I10" s="187"/>
      <c r="J10" s="252"/>
      <c r="K10" s="253"/>
      <c r="L10" s="187"/>
      <c r="M10" s="252"/>
      <c r="N10" s="253"/>
      <c r="O10" s="187"/>
      <c r="P10" s="252"/>
      <c r="Q10" s="253"/>
      <c r="R10" s="60"/>
    </row>
    <row r="11" spans="3:18" s="51" customFormat="1" ht="15">
      <c r="C11" s="55"/>
      <c r="D11" s="252"/>
      <c r="E11" s="253"/>
      <c r="F11" s="187"/>
      <c r="G11" s="252"/>
      <c r="H11" s="253"/>
      <c r="I11" s="187"/>
      <c r="J11" s="252"/>
      <c r="K11" s="253"/>
      <c r="L11" s="187"/>
      <c r="M11" s="252"/>
      <c r="N11" s="253"/>
      <c r="O11" s="187"/>
      <c r="P11" s="252"/>
      <c r="Q11" s="253"/>
      <c r="R11" s="60"/>
    </row>
    <row r="12" spans="3:18" s="51" customFormat="1" ht="31.5" customHeight="1">
      <c r="C12" s="55"/>
      <c r="D12" s="252"/>
      <c r="E12" s="253"/>
      <c r="F12" s="187"/>
      <c r="G12" s="252"/>
      <c r="H12" s="253"/>
      <c r="I12" s="187"/>
      <c r="J12" s="252"/>
      <c r="K12" s="253"/>
      <c r="L12" s="187"/>
      <c r="M12" s="252"/>
      <c r="N12" s="253"/>
      <c r="O12" s="187"/>
      <c r="P12" s="252"/>
      <c r="Q12" s="253"/>
      <c r="R12" s="60"/>
    </row>
    <row r="13" spans="3:18" s="51" customFormat="1" ht="15">
      <c r="C13" s="58"/>
      <c r="D13" s="57" t="s">
        <v>274</v>
      </c>
      <c r="E13" s="57" t="s">
        <v>238</v>
      </c>
      <c r="F13" s="214"/>
      <c r="G13" s="57" t="s">
        <v>266</v>
      </c>
      <c r="H13" s="57" t="s">
        <v>247</v>
      </c>
      <c r="I13" s="214"/>
      <c r="J13" s="57" t="s">
        <v>275</v>
      </c>
      <c r="K13" s="57" t="s">
        <v>246</v>
      </c>
      <c r="L13" s="214"/>
      <c r="M13" s="57" t="s">
        <v>278</v>
      </c>
      <c r="N13" s="57" t="s">
        <v>255</v>
      </c>
      <c r="O13" s="214"/>
      <c r="P13" s="57" t="s">
        <v>278</v>
      </c>
      <c r="Q13" s="57" t="s">
        <v>255</v>
      </c>
      <c r="R13" s="60"/>
    </row>
    <row r="14" spans="3:18" s="51" customFormat="1" ht="15">
      <c r="C14" s="58"/>
      <c r="D14" s="58" t="s">
        <v>0</v>
      </c>
      <c r="E14" s="58" t="s">
        <v>0</v>
      </c>
      <c r="F14" s="215"/>
      <c r="G14" s="58" t="s">
        <v>0</v>
      </c>
      <c r="H14" s="58" t="s">
        <v>0</v>
      </c>
      <c r="I14" s="215"/>
      <c r="J14" s="58" t="s">
        <v>0</v>
      </c>
      <c r="K14" s="58" t="s">
        <v>0</v>
      </c>
      <c r="L14" s="215"/>
      <c r="M14" s="58" t="s">
        <v>0</v>
      </c>
      <c r="N14" s="58" t="s">
        <v>0</v>
      </c>
      <c r="O14" s="215"/>
      <c r="P14" s="58" t="s">
        <v>0</v>
      </c>
      <c r="Q14" s="58" t="s">
        <v>0</v>
      </c>
      <c r="R14" s="60"/>
    </row>
    <row r="15" spans="3:17" s="51" customFormat="1" ht="15">
      <c r="C15" s="58"/>
      <c r="D15" s="58"/>
      <c r="E15" s="58"/>
      <c r="F15" s="215"/>
      <c r="G15" s="58"/>
      <c r="H15" s="58"/>
      <c r="I15" s="215"/>
      <c r="J15" s="58"/>
      <c r="K15" s="58"/>
      <c r="L15" s="215"/>
      <c r="M15" s="58"/>
      <c r="N15" s="58"/>
      <c r="O15" s="215"/>
      <c r="Q15" s="58"/>
    </row>
    <row r="16" spans="2:18" s="51" customFormat="1" ht="15">
      <c r="B16" s="16" t="s">
        <v>1</v>
      </c>
      <c r="C16" s="59"/>
      <c r="D16" s="127">
        <v>19741</v>
      </c>
      <c r="E16" s="127">
        <v>19782</v>
      </c>
      <c r="F16" s="199"/>
      <c r="G16" s="127">
        <v>21539</v>
      </c>
      <c r="H16" s="127">
        <v>23812</v>
      </c>
      <c r="I16" s="199"/>
      <c r="J16" s="127">
        <v>19082</v>
      </c>
      <c r="K16" s="127">
        <v>22467</v>
      </c>
      <c r="L16" s="199"/>
      <c r="M16" s="127">
        <f>P16-G16-D16-J16</f>
        <v>39536.84112998159</v>
      </c>
      <c r="N16" s="127">
        <v>31519</v>
      </c>
      <c r="O16" s="199"/>
      <c r="P16" s="127">
        <f>'[9]1conso-YTD (2)'!$V$13</f>
        <v>99898.84112998159</v>
      </c>
      <c r="Q16" s="127">
        <v>97580</v>
      </c>
      <c r="R16" s="60"/>
    </row>
    <row r="17" spans="3:18" s="51" customFormat="1" ht="14.25">
      <c r="C17" s="59"/>
      <c r="D17" s="127"/>
      <c r="E17" s="127"/>
      <c r="F17" s="199"/>
      <c r="G17" s="127"/>
      <c r="H17" s="127"/>
      <c r="I17" s="199"/>
      <c r="J17" s="127"/>
      <c r="K17" s="127"/>
      <c r="L17" s="199"/>
      <c r="M17" s="127"/>
      <c r="N17" s="127"/>
      <c r="O17" s="199"/>
      <c r="P17" s="127"/>
      <c r="Q17" s="127"/>
      <c r="R17" s="60"/>
    </row>
    <row r="18" spans="2:18" s="51" customFormat="1" ht="14.25">
      <c r="B18" s="51" t="s">
        <v>31</v>
      </c>
      <c r="C18" s="59"/>
      <c r="D18" s="127">
        <v>-13708</v>
      </c>
      <c r="E18" s="127">
        <v>-11190</v>
      </c>
      <c r="F18" s="199"/>
      <c r="G18" s="127">
        <v>-12202</v>
      </c>
      <c r="H18" s="127">
        <v>-14545</v>
      </c>
      <c r="I18" s="199"/>
      <c r="J18" s="127">
        <v>-12737</v>
      </c>
      <c r="K18" s="127">
        <v>-13259</v>
      </c>
      <c r="L18" s="199"/>
      <c r="M18" s="127">
        <f>P18-G18-D18-J18</f>
        <v>-23521.198484083085</v>
      </c>
      <c r="N18" s="127">
        <v>-24498</v>
      </c>
      <c r="O18" s="199"/>
      <c r="P18" s="127">
        <f>'[9]1conso-YTD (2)'!$V$14</f>
        <v>-62168.198484083085</v>
      </c>
      <c r="Q18" s="127">
        <v>-63492</v>
      </c>
      <c r="R18" s="60"/>
    </row>
    <row r="19" spans="2:18" s="51" customFormat="1" ht="14.25">
      <c r="B19" s="60"/>
      <c r="C19" s="59"/>
      <c r="D19" s="169"/>
      <c r="E19" s="169"/>
      <c r="F19" s="173"/>
      <c r="G19" s="169"/>
      <c r="H19" s="169"/>
      <c r="I19" s="173"/>
      <c r="J19" s="169"/>
      <c r="K19" s="169"/>
      <c r="L19" s="173"/>
      <c r="M19" s="169"/>
      <c r="N19" s="169"/>
      <c r="O19" s="173"/>
      <c r="P19" s="131"/>
      <c r="Q19" s="169"/>
      <c r="R19" s="60"/>
    </row>
    <row r="20" spans="2:18" s="51" customFormat="1" ht="15">
      <c r="B20" s="61" t="s">
        <v>32</v>
      </c>
      <c r="C20" s="59"/>
      <c r="D20" s="127">
        <f>SUM(D16:D19)</f>
        <v>6033</v>
      </c>
      <c r="E20" s="127">
        <f>SUM(E16:E19)</f>
        <v>8592</v>
      </c>
      <c r="F20" s="199"/>
      <c r="G20" s="127">
        <f>SUM(G16:G19)</f>
        <v>9337</v>
      </c>
      <c r="H20" s="127">
        <f>SUM(H16:H19)</f>
        <v>9267</v>
      </c>
      <c r="I20" s="199"/>
      <c r="J20" s="127">
        <f>SUM(J16:J19)</f>
        <v>6345</v>
      </c>
      <c r="K20" s="127">
        <f>SUM(K16:K19)</f>
        <v>9208</v>
      </c>
      <c r="L20" s="199"/>
      <c r="M20" s="127">
        <f>SUM(M16:M19)</f>
        <v>16015.642645898508</v>
      </c>
      <c r="N20" s="127">
        <f>SUM(N16:N19)</f>
        <v>7021</v>
      </c>
      <c r="O20" s="199"/>
      <c r="P20" s="127">
        <f>+P16+P18</f>
        <v>37730.64264589851</v>
      </c>
      <c r="Q20" s="199">
        <f>SUM(Q16:Q18)</f>
        <v>34088</v>
      </c>
      <c r="R20" s="60"/>
    </row>
    <row r="21" spans="3:18" s="51" customFormat="1" ht="14.25">
      <c r="C21" s="59"/>
      <c r="D21" s="130"/>
      <c r="E21" s="130"/>
      <c r="F21" s="173"/>
      <c r="G21" s="130"/>
      <c r="H21" s="130"/>
      <c r="I21" s="173"/>
      <c r="J21" s="130"/>
      <c r="K21" s="130"/>
      <c r="L21" s="173"/>
      <c r="M21" s="130"/>
      <c r="N21" s="130"/>
      <c r="O21" s="173"/>
      <c r="P21" s="130"/>
      <c r="Q21" s="130"/>
      <c r="R21" s="60"/>
    </row>
    <row r="22" spans="2:18" s="51" customFormat="1" ht="12.75" customHeight="1">
      <c r="B22" s="51" t="s">
        <v>50</v>
      </c>
      <c r="C22" s="59"/>
      <c r="D22" s="127">
        <v>238</v>
      </c>
      <c r="E22" s="127">
        <v>620</v>
      </c>
      <c r="F22" s="199"/>
      <c r="G22" s="127">
        <v>252</v>
      </c>
      <c r="H22" s="127">
        <v>221</v>
      </c>
      <c r="I22" s="199"/>
      <c r="J22" s="127">
        <v>344</v>
      </c>
      <c r="K22" s="127">
        <v>376</v>
      </c>
      <c r="L22" s="199"/>
      <c r="M22" s="127">
        <f>P22-G22-D22-J22</f>
        <v>312.61787132849986</v>
      </c>
      <c r="N22" s="127">
        <v>274</v>
      </c>
      <c r="O22" s="199"/>
      <c r="P22" s="127">
        <f>'[9]1conso-YTD (2)'!$V$17</f>
        <v>1146.6178713284999</v>
      </c>
      <c r="Q22" s="127">
        <v>1491</v>
      </c>
      <c r="R22" s="87"/>
    </row>
    <row r="23" spans="3:18" s="51" customFormat="1" ht="12.75" customHeight="1">
      <c r="C23" s="59"/>
      <c r="D23" s="130"/>
      <c r="E23" s="127"/>
      <c r="F23" s="199"/>
      <c r="G23" s="127"/>
      <c r="H23" s="127"/>
      <c r="I23" s="199"/>
      <c r="J23" s="127"/>
      <c r="K23" s="127"/>
      <c r="L23" s="199"/>
      <c r="M23" s="127"/>
      <c r="N23" s="127"/>
      <c r="O23" s="199"/>
      <c r="P23" s="127"/>
      <c r="Q23" s="127"/>
      <c r="R23" s="87"/>
    </row>
    <row r="24" spans="2:18" s="51" customFormat="1" ht="12.75" customHeight="1">
      <c r="B24" s="51" t="s">
        <v>134</v>
      </c>
      <c r="C24" s="59"/>
      <c r="D24" s="127">
        <v>-5798</v>
      </c>
      <c r="E24" s="127">
        <v>-5393</v>
      </c>
      <c r="F24" s="199"/>
      <c r="G24" s="127">
        <v>-7106</v>
      </c>
      <c r="H24" s="127">
        <v>-5882</v>
      </c>
      <c r="I24" s="199"/>
      <c r="J24" s="127">
        <v>-5952</v>
      </c>
      <c r="K24" s="243">
        <f>-6701-560</f>
        <v>-7261</v>
      </c>
      <c r="L24" s="199"/>
      <c r="M24" s="127">
        <f>P24-G24-D24-J24</f>
        <v>-7832.26157517426</v>
      </c>
      <c r="N24" s="127">
        <v>-8192</v>
      </c>
      <c r="O24" s="199"/>
      <c r="P24" s="127">
        <f>'[9]1conso-YTD (2)'!$V$19+'[9]1conso-YTD (2)'!$V$20</f>
        <v>-26688.26157517426</v>
      </c>
      <c r="Q24" s="127">
        <v>-26728</v>
      </c>
      <c r="R24" s="87"/>
    </row>
    <row r="25" spans="3:18" s="51" customFormat="1" ht="12.75" customHeight="1">
      <c r="C25" s="59"/>
      <c r="D25" s="130"/>
      <c r="E25" s="130"/>
      <c r="F25" s="173"/>
      <c r="G25" s="130"/>
      <c r="H25" s="130"/>
      <c r="I25" s="173"/>
      <c r="J25" s="130"/>
      <c r="K25" s="130"/>
      <c r="L25" s="173"/>
      <c r="M25" s="130"/>
      <c r="N25" s="130"/>
      <c r="O25" s="173"/>
      <c r="P25" s="127"/>
      <c r="Q25" s="127"/>
      <c r="R25" s="87"/>
    </row>
    <row r="26" spans="2:18" s="51" customFormat="1" ht="12.75" customHeight="1">
      <c r="B26" s="51" t="s">
        <v>133</v>
      </c>
      <c r="C26" s="59"/>
      <c r="D26" s="127">
        <v>-736</v>
      </c>
      <c r="E26" s="127">
        <v>-737</v>
      </c>
      <c r="F26" s="199"/>
      <c r="G26" s="127">
        <v>-756</v>
      </c>
      <c r="H26" s="127">
        <v>-727</v>
      </c>
      <c r="I26" s="199"/>
      <c r="J26" s="127">
        <v>-786</v>
      </c>
      <c r="K26" s="127">
        <v>-722</v>
      </c>
      <c r="L26" s="199"/>
      <c r="M26" s="127">
        <f>P26-G26-D26-J26</f>
        <v>-728.2864938136104</v>
      </c>
      <c r="N26" s="127">
        <v>-822</v>
      </c>
      <c r="O26" s="199"/>
      <c r="P26" s="127">
        <f>'[9]1conso-YTD (2)'!$V$21</f>
        <v>-3006.2864938136104</v>
      </c>
      <c r="Q26" s="127">
        <v>-3009</v>
      </c>
      <c r="R26" s="87"/>
    </row>
    <row r="27" spans="2:18" s="51" customFormat="1" ht="14.25">
      <c r="B27" s="64"/>
      <c r="C27" s="59"/>
      <c r="D27" s="130"/>
      <c r="E27" s="127"/>
      <c r="F27" s="199"/>
      <c r="G27" s="127"/>
      <c r="H27" s="127"/>
      <c r="I27" s="199"/>
      <c r="J27" s="127"/>
      <c r="K27" s="127"/>
      <c r="L27" s="199"/>
      <c r="M27" s="127"/>
      <c r="N27" s="127"/>
      <c r="O27" s="199"/>
      <c r="P27" s="127"/>
      <c r="Q27" s="127"/>
      <c r="R27" s="60"/>
    </row>
    <row r="28" spans="2:18" s="51" customFormat="1" ht="14.25">
      <c r="B28" s="51" t="s">
        <v>51</v>
      </c>
      <c r="C28" s="63"/>
      <c r="D28" s="127">
        <v>-364</v>
      </c>
      <c r="E28" s="127">
        <v>-587</v>
      </c>
      <c r="F28" s="199"/>
      <c r="G28" s="127">
        <v>-429</v>
      </c>
      <c r="H28" s="127">
        <v>-758</v>
      </c>
      <c r="I28" s="199"/>
      <c r="J28" s="127">
        <v>-516</v>
      </c>
      <c r="K28" s="127">
        <v>-521</v>
      </c>
      <c r="L28" s="199"/>
      <c r="M28" s="127">
        <f>P28-G28-D28-J28</f>
        <v>-1401.5366899999995</v>
      </c>
      <c r="N28" s="127">
        <v>188</v>
      </c>
      <c r="O28" s="199"/>
      <c r="P28" s="127">
        <f>'[9]1conso-YTD (2)'!$V$26</f>
        <v>-2710.5366899999995</v>
      </c>
      <c r="Q28" s="127">
        <v>-1678</v>
      </c>
      <c r="R28" s="60"/>
    </row>
    <row r="29" spans="3:18" s="51" customFormat="1" ht="14.25">
      <c r="C29" s="59"/>
      <c r="D29" s="131"/>
      <c r="E29" s="131"/>
      <c r="F29" s="173"/>
      <c r="G29" s="131"/>
      <c r="H29" s="131"/>
      <c r="I29" s="173"/>
      <c r="J29" s="131"/>
      <c r="K29" s="131"/>
      <c r="L29" s="173"/>
      <c r="M29" s="131"/>
      <c r="N29" s="131"/>
      <c r="O29" s="173"/>
      <c r="P29" s="131"/>
      <c r="Q29" s="131"/>
      <c r="R29" s="87"/>
    </row>
    <row r="30" spans="2:18" s="51" customFormat="1" ht="15">
      <c r="B30" s="16" t="s">
        <v>252</v>
      </c>
      <c r="C30" s="59"/>
      <c r="D30" s="127">
        <f>SUM(D20:D29)</f>
        <v>-627</v>
      </c>
      <c r="E30" s="127">
        <f>SUM(E20:E29)</f>
        <v>2495</v>
      </c>
      <c r="F30" s="199"/>
      <c r="G30" s="127">
        <f>SUM(G20:G29)</f>
        <v>1298</v>
      </c>
      <c r="H30" s="127">
        <f>SUM(H20:H29)</f>
        <v>2121</v>
      </c>
      <c r="I30" s="199"/>
      <c r="J30" s="127">
        <f>SUM(J20:J29)</f>
        <v>-565</v>
      </c>
      <c r="K30" s="127">
        <f>SUM(K20:K29)</f>
        <v>1080</v>
      </c>
      <c r="L30" s="199"/>
      <c r="M30" s="127">
        <f>SUM(M20:M29)+1</f>
        <v>6367.17575823914</v>
      </c>
      <c r="N30" s="127">
        <f>SUM(N20:N29)</f>
        <v>-1531</v>
      </c>
      <c r="O30" s="199"/>
      <c r="P30" s="127">
        <f>SUM(P20:P28)+1</f>
        <v>6473.1757582391365</v>
      </c>
      <c r="Q30" s="127">
        <f>SUM(Q20:Q29)</f>
        <v>4164</v>
      </c>
      <c r="R30" s="60"/>
    </row>
    <row r="31" spans="3:18" s="51" customFormat="1" ht="14.25">
      <c r="C31" s="59"/>
      <c r="D31" s="127"/>
      <c r="E31" s="127"/>
      <c r="F31" s="199"/>
      <c r="G31" s="127"/>
      <c r="H31" s="127"/>
      <c r="I31" s="199"/>
      <c r="J31" s="127"/>
      <c r="K31" s="127"/>
      <c r="L31" s="199"/>
      <c r="M31" s="127"/>
      <c r="N31" s="127"/>
      <c r="O31" s="199"/>
      <c r="P31" s="127"/>
      <c r="Q31" s="127"/>
      <c r="R31" s="60"/>
    </row>
    <row r="32" spans="2:18" s="51" customFormat="1" ht="14.25">
      <c r="B32" s="51" t="s">
        <v>33</v>
      </c>
      <c r="C32" s="59"/>
      <c r="D32" s="127">
        <v>0</v>
      </c>
      <c r="E32" s="127">
        <v>-860</v>
      </c>
      <c r="F32" s="199"/>
      <c r="G32" s="220">
        <v>-516</v>
      </c>
      <c r="H32" s="127">
        <v>-250</v>
      </c>
      <c r="I32" s="199"/>
      <c r="J32" s="220">
        <v>-21</v>
      </c>
      <c r="K32" s="127">
        <v>-189</v>
      </c>
      <c r="L32" s="199"/>
      <c r="M32" s="127">
        <f>P32-G32-D32-J32</f>
        <v>-3900.4580000000005</v>
      </c>
      <c r="N32" s="127">
        <v>68</v>
      </c>
      <c r="O32" s="199"/>
      <c r="P32" s="220">
        <f>'[9]1conso-YTD (2)'!$V$29</f>
        <v>-4437.4580000000005</v>
      </c>
      <c r="Q32" s="127">
        <v>-1231</v>
      </c>
      <c r="R32" s="60"/>
    </row>
    <row r="33" spans="3:18" s="51" customFormat="1" ht="14.25">
      <c r="C33" s="59"/>
      <c r="D33" s="130"/>
      <c r="E33" s="130"/>
      <c r="F33" s="173"/>
      <c r="G33" s="130"/>
      <c r="H33" s="130"/>
      <c r="I33" s="173"/>
      <c r="J33" s="130"/>
      <c r="K33" s="130"/>
      <c r="L33" s="173"/>
      <c r="M33" s="130"/>
      <c r="N33" s="130"/>
      <c r="O33" s="173"/>
      <c r="P33" s="131"/>
      <c r="Q33" s="131"/>
      <c r="R33" s="87"/>
    </row>
    <row r="34" spans="2:18" s="51" customFormat="1" ht="15.75" thickBot="1">
      <c r="B34" s="16" t="s">
        <v>253</v>
      </c>
      <c r="C34" s="59"/>
      <c r="D34" s="128">
        <f>SUM(D30:D33)</f>
        <v>-627</v>
      </c>
      <c r="E34" s="128">
        <f>SUM(E30:E33)</f>
        <v>1635</v>
      </c>
      <c r="F34" s="173"/>
      <c r="G34" s="128">
        <f>SUM(G30:G33)</f>
        <v>782</v>
      </c>
      <c r="H34" s="128">
        <f>SUM(H30:H33)</f>
        <v>1871</v>
      </c>
      <c r="I34" s="173"/>
      <c r="J34" s="128">
        <f>SUM(J30:J33)</f>
        <v>-586</v>
      </c>
      <c r="K34" s="128">
        <f>SUM(K30:K33)</f>
        <v>891</v>
      </c>
      <c r="L34" s="173"/>
      <c r="M34" s="128">
        <f>SUM(M30:M33)</f>
        <v>2466.7177582391396</v>
      </c>
      <c r="N34" s="128">
        <f>SUM(N30:N33)</f>
        <v>-1463</v>
      </c>
      <c r="O34" s="173"/>
      <c r="P34" s="128">
        <f>SUM(P30:P33)</f>
        <v>2035.717758239136</v>
      </c>
      <c r="Q34" s="128">
        <f>SUM(Q30:Q33)</f>
        <v>2933</v>
      </c>
      <c r="R34" s="60"/>
    </row>
    <row r="35" spans="2:18" s="51" customFormat="1" ht="15.75" thickTop="1">
      <c r="B35" s="16"/>
      <c r="C35" s="59"/>
      <c r="D35" s="130"/>
      <c r="E35" s="130"/>
      <c r="F35" s="173"/>
      <c r="G35" s="130"/>
      <c r="H35" s="130"/>
      <c r="I35" s="173"/>
      <c r="J35" s="130"/>
      <c r="K35" s="130"/>
      <c r="L35" s="173"/>
      <c r="M35" s="130"/>
      <c r="N35" s="130"/>
      <c r="O35" s="173"/>
      <c r="P35" s="130"/>
      <c r="Q35" s="130"/>
      <c r="R35" s="60"/>
    </row>
    <row r="36" spans="2:18" s="51" customFormat="1" ht="15">
      <c r="B36" s="16" t="s">
        <v>214</v>
      </c>
      <c r="C36" s="183"/>
      <c r="D36" s="182">
        <v>0</v>
      </c>
      <c r="E36" s="182">
        <v>0</v>
      </c>
      <c r="F36" s="216"/>
      <c r="G36" s="182">
        <v>0</v>
      </c>
      <c r="H36" s="182">
        <v>0</v>
      </c>
      <c r="I36" s="216"/>
      <c r="J36" s="182">
        <v>0</v>
      </c>
      <c r="K36" s="182">
        <v>0</v>
      </c>
      <c r="L36" s="216"/>
      <c r="M36" s="182">
        <v>0</v>
      </c>
      <c r="N36" s="182">
        <v>0</v>
      </c>
      <c r="O36" s="216"/>
      <c r="P36" s="182">
        <v>0</v>
      </c>
      <c r="Q36" s="182">
        <v>0</v>
      </c>
      <c r="R36" s="60"/>
    </row>
    <row r="37" spans="2:18" s="51" customFormat="1" ht="15">
      <c r="B37" s="16"/>
      <c r="C37" s="183"/>
      <c r="D37" s="182"/>
      <c r="E37" s="182"/>
      <c r="F37" s="216"/>
      <c r="G37" s="182"/>
      <c r="H37" s="182"/>
      <c r="I37" s="216"/>
      <c r="J37" s="182"/>
      <c r="K37" s="182"/>
      <c r="L37" s="216"/>
      <c r="M37" s="182"/>
      <c r="N37" s="182"/>
      <c r="O37" s="216"/>
      <c r="P37" s="182"/>
      <c r="Q37" s="182"/>
      <c r="R37" s="60"/>
    </row>
    <row r="38" spans="2:18" s="51" customFormat="1" ht="15">
      <c r="B38" s="16" t="s">
        <v>215</v>
      </c>
      <c r="C38" s="183"/>
      <c r="D38" s="184">
        <f>SUM(D36:D37)</f>
        <v>0</v>
      </c>
      <c r="E38" s="184">
        <f>SUM(E36:E37)</f>
        <v>0</v>
      </c>
      <c r="F38" s="216"/>
      <c r="G38" s="184">
        <f>SUM(G36:G37)</f>
        <v>0</v>
      </c>
      <c r="H38" s="184">
        <f>SUM(H36:H37)</f>
        <v>0</v>
      </c>
      <c r="I38" s="216"/>
      <c r="J38" s="184">
        <f>SUM(J36:J37)</f>
        <v>0</v>
      </c>
      <c r="K38" s="184">
        <f>SUM(K36:K37)</f>
        <v>0</v>
      </c>
      <c r="L38" s="216"/>
      <c r="M38" s="184">
        <f>SUM(M36:M37)</f>
        <v>0</v>
      </c>
      <c r="N38" s="184">
        <f>SUM(N36:N37)</f>
        <v>0</v>
      </c>
      <c r="O38" s="216"/>
      <c r="P38" s="184">
        <f>SUM(P36:P37)</f>
        <v>0</v>
      </c>
      <c r="Q38" s="184">
        <v>0</v>
      </c>
      <c r="R38" s="60"/>
    </row>
    <row r="39" spans="2:18" s="51" customFormat="1" ht="15">
      <c r="B39" s="16"/>
      <c r="C39" s="59"/>
      <c r="D39" s="130"/>
      <c r="E39" s="130"/>
      <c r="F39" s="173"/>
      <c r="G39" s="130"/>
      <c r="H39" s="130"/>
      <c r="I39" s="173"/>
      <c r="J39" s="130"/>
      <c r="K39" s="130"/>
      <c r="L39" s="173"/>
      <c r="M39" s="130"/>
      <c r="N39" s="130"/>
      <c r="O39" s="173"/>
      <c r="P39" s="130"/>
      <c r="Q39" s="130"/>
      <c r="R39" s="60"/>
    </row>
    <row r="40" spans="2:18" s="51" customFormat="1" ht="15.75" thickBot="1">
      <c r="B40" s="61" t="s">
        <v>265</v>
      </c>
      <c r="C40" s="59"/>
      <c r="D40" s="132">
        <f>D34</f>
        <v>-627</v>
      </c>
      <c r="E40" s="132">
        <f>E34</f>
        <v>1635</v>
      </c>
      <c r="F40" s="173"/>
      <c r="G40" s="132">
        <f>G34</f>
        <v>782</v>
      </c>
      <c r="H40" s="132">
        <f>H34</f>
        <v>1871</v>
      </c>
      <c r="I40" s="173"/>
      <c r="J40" s="132">
        <f>J34</f>
        <v>-586</v>
      </c>
      <c r="K40" s="132">
        <f>K34</f>
        <v>891</v>
      </c>
      <c r="L40" s="173"/>
      <c r="M40" s="132">
        <f>M34</f>
        <v>2466.7177582391396</v>
      </c>
      <c r="N40" s="132">
        <f>N34</f>
        <v>-1463</v>
      </c>
      <c r="O40" s="173"/>
      <c r="P40" s="132">
        <f>P34</f>
        <v>2035.717758239136</v>
      </c>
      <c r="Q40" s="132">
        <v>2933</v>
      </c>
      <c r="R40" s="60"/>
    </row>
    <row r="41" spans="2:18" s="51" customFormat="1" ht="15.75" thickTop="1">
      <c r="B41" s="16"/>
      <c r="C41" s="59"/>
      <c r="D41" s="130"/>
      <c r="E41" s="130"/>
      <c r="F41" s="173"/>
      <c r="G41" s="130"/>
      <c r="H41" s="130"/>
      <c r="I41" s="173"/>
      <c r="J41" s="130"/>
      <c r="K41" s="130"/>
      <c r="L41" s="173"/>
      <c r="M41" s="130"/>
      <c r="N41" s="130"/>
      <c r="O41" s="173"/>
      <c r="P41" s="130"/>
      <c r="Q41" s="130"/>
      <c r="R41" s="60"/>
    </row>
    <row r="42" spans="2:18" s="51" customFormat="1" ht="15">
      <c r="B42" s="16" t="s">
        <v>254</v>
      </c>
      <c r="C42" s="59"/>
      <c r="D42" s="130"/>
      <c r="E42" s="130"/>
      <c r="F42" s="173"/>
      <c r="G42" s="130"/>
      <c r="H42" s="130"/>
      <c r="I42" s="173"/>
      <c r="J42" s="130"/>
      <c r="K42" s="130"/>
      <c r="L42" s="173"/>
      <c r="M42" s="130"/>
      <c r="N42" s="130"/>
      <c r="O42" s="173"/>
      <c r="P42" s="130"/>
      <c r="Q42" s="130"/>
      <c r="R42" s="60"/>
    </row>
    <row r="43" spans="2:18" s="51" customFormat="1" ht="15">
      <c r="B43" s="16"/>
      <c r="C43" s="59"/>
      <c r="D43" s="130"/>
      <c r="E43" s="130"/>
      <c r="F43" s="173"/>
      <c r="G43" s="130"/>
      <c r="H43" s="130"/>
      <c r="I43" s="173"/>
      <c r="J43" s="130"/>
      <c r="K43" s="130"/>
      <c r="L43" s="173"/>
      <c r="M43" s="130"/>
      <c r="N43" s="130"/>
      <c r="O43" s="173"/>
      <c r="P43" s="130"/>
      <c r="Q43" s="130"/>
      <c r="R43" s="60"/>
    </row>
    <row r="44" spans="2:18" s="51" customFormat="1" ht="14.25">
      <c r="B44" s="51" t="s">
        <v>221</v>
      </c>
      <c r="C44" s="59"/>
      <c r="D44" s="127">
        <v>-565</v>
      </c>
      <c r="E44" s="127">
        <v>1699</v>
      </c>
      <c r="F44" s="199"/>
      <c r="G44" s="127">
        <v>789</v>
      </c>
      <c r="H44" s="127">
        <v>1823</v>
      </c>
      <c r="I44" s="199"/>
      <c r="J44" s="127">
        <v>-583</v>
      </c>
      <c r="K44" s="127">
        <v>1457</v>
      </c>
      <c r="L44" s="199"/>
      <c r="M44" s="127">
        <f>P44-G44-D44-J44</f>
        <v>2429</v>
      </c>
      <c r="N44" s="127">
        <v>-1401</v>
      </c>
      <c r="O44" s="199"/>
      <c r="P44" s="173">
        <v>2070</v>
      </c>
      <c r="Q44" s="173">
        <v>3017</v>
      </c>
      <c r="R44" s="60"/>
    </row>
    <row r="45" spans="3:18" s="51" customFormat="1" ht="14.25">
      <c r="C45" s="59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60"/>
    </row>
    <row r="46" spans="2:18" s="51" customFormat="1" ht="14.25">
      <c r="B46" s="51" t="s">
        <v>222</v>
      </c>
      <c r="C46" s="59"/>
      <c r="D46" s="127">
        <v>-62</v>
      </c>
      <c r="E46" s="127">
        <v>-64</v>
      </c>
      <c r="F46" s="199"/>
      <c r="G46" s="127">
        <v>-7</v>
      </c>
      <c r="H46" s="127">
        <v>48</v>
      </c>
      <c r="I46" s="199"/>
      <c r="J46" s="127">
        <v>-3</v>
      </c>
      <c r="K46" s="127">
        <v>-6</v>
      </c>
      <c r="L46" s="199"/>
      <c r="M46" s="127">
        <f>P46-G46-D46-J46</f>
        <v>37.523</v>
      </c>
      <c r="N46" s="127">
        <v>-62</v>
      </c>
      <c r="O46" s="199"/>
      <c r="P46" s="199">
        <f>-'[9]1conso-YTD (2)'!$V$31</f>
        <v>-34.477</v>
      </c>
      <c r="Q46" s="199">
        <v>-84</v>
      </c>
      <c r="R46" s="60"/>
    </row>
    <row r="47" spans="2:18" s="51" customFormat="1" ht="15">
      <c r="B47" s="16"/>
      <c r="C47" s="59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60"/>
    </row>
    <row r="48" spans="2:18" s="51" customFormat="1" ht="15" thickBot="1">
      <c r="B48" s="51" t="s">
        <v>216</v>
      </c>
      <c r="C48" s="59"/>
      <c r="D48" s="201">
        <f>SUM(D44:D47)</f>
        <v>-627</v>
      </c>
      <c r="E48" s="201">
        <f>SUM(E44:E47)</f>
        <v>1635</v>
      </c>
      <c r="F48" s="173"/>
      <c r="G48" s="201">
        <f>SUM(G44:G47)</f>
        <v>782</v>
      </c>
      <c r="H48" s="201">
        <f>SUM(H44:H47)</f>
        <v>1871</v>
      </c>
      <c r="I48" s="173"/>
      <c r="J48" s="201">
        <f>SUM(J44:J47)</f>
        <v>-586</v>
      </c>
      <c r="K48" s="201">
        <f>SUM(K44:K47)</f>
        <v>1451</v>
      </c>
      <c r="L48" s="173"/>
      <c r="M48" s="201">
        <f>SUM(M44:M47)</f>
        <v>2466.523</v>
      </c>
      <c r="N48" s="201">
        <f>SUM(N44:N47)</f>
        <v>-1463</v>
      </c>
      <c r="O48" s="173"/>
      <c r="P48" s="201">
        <f>SUM(P44:P47)</f>
        <v>2035.523</v>
      </c>
      <c r="Q48" s="201">
        <f>SUM(Q44:Q47)</f>
        <v>2933</v>
      </c>
      <c r="R48" s="60"/>
    </row>
    <row r="49" spans="3:18" s="51" customFormat="1" ht="15" thickTop="1">
      <c r="C49" s="59"/>
      <c r="D49" s="173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173"/>
      <c r="Q49" s="173"/>
      <c r="R49" s="60"/>
    </row>
    <row r="50" spans="2:18" s="51" customFormat="1" ht="15">
      <c r="B50" s="16"/>
      <c r="C50" s="59"/>
      <c r="D50" s="173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173"/>
      <c r="Q50" s="173"/>
      <c r="R50" s="60"/>
    </row>
    <row r="51" spans="2:18" s="51" customFormat="1" ht="14.25">
      <c r="B51" s="54" t="s">
        <v>141</v>
      </c>
      <c r="C51" s="59"/>
      <c r="D51" s="173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173"/>
      <c r="R51" s="87"/>
    </row>
    <row r="52" spans="2:18" s="51" customFormat="1" ht="14.25">
      <c r="B52" s="54" t="s">
        <v>142</v>
      </c>
      <c r="C52" s="62"/>
      <c r="D52" s="199">
        <v>159976</v>
      </c>
      <c r="E52" s="199">
        <v>160000</v>
      </c>
      <c r="F52" s="199"/>
      <c r="G52" s="199">
        <v>159778</v>
      </c>
      <c r="H52" s="199">
        <f>Q52</f>
        <v>159938</v>
      </c>
      <c r="I52" s="199"/>
      <c r="J52" s="199">
        <v>160000</v>
      </c>
      <c r="K52" s="199">
        <v>159967</v>
      </c>
      <c r="L52" s="199"/>
      <c r="M52" s="199">
        <f>P52</f>
        <v>160000</v>
      </c>
      <c r="N52" s="199">
        <v>159938</v>
      </c>
      <c r="O52" s="199"/>
      <c r="P52" s="173">
        <f>'[7]Weighted avr share-rs'!$C$23/1000</f>
        <v>160000</v>
      </c>
      <c r="Q52" s="199">
        <v>159938</v>
      </c>
      <c r="R52" s="87"/>
    </row>
    <row r="53" spans="2:18" s="51" customFormat="1" ht="14.25">
      <c r="B53" s="54"/>
      <c r="C53" s="62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87"/>
    </row>
    <row r="54" spans="2:18" s="51" customFormat="1" ht="14.25">
      <c r="B54" s="51" t="s">
        <v>217</v>
      </c>
      <c r="C54" s="62"/>
      <c r="D54" s="174">
        <f>D44/D52*100</f>
        <v>-0.35317797669650447</v>
      </c>
      <c r="E54" s="174">
        <f>E44/E52*100</f>
        <v>1.061875</v>
      </c>
      <c r="F54" s="174"/>
      <c r="G54" s="174">
        <f>G44/G52*100</f>
        <v>0.4938101615992189</v>
      </c>
      <c r="H54" s="174">
        <f>H44/H52*100</f>
        <v>1.1398166789630981</v>
      </c>
      <c r="I54" s="174"/>
      <c r="J54" s="174">
        <f>J44/J52*100</f>
        <v>-0.364375</v>
      </c>
      <c r="K54" s="174">
        <f>K44/K52*100</f>
        <v>0.910812855151375</v>
      </c>
      <c r="L54" s="174"/>
      <c r="M54" s="174">
        <f>M44/M52*100</f>
        <v>1.518125</v>
      </c>
      <c r="N54" s="174">
        <f>N44/N52*100</f>
        <v>-0.875964436219035</v>
      </c>
      <c r="O54" s="174"/>
      <c r="P54" s="174">
        <f>P44/P52*100</f>
        <v>1.29375</v>
      </c>
      <c r="Q54" s="174">
        <f>Q44/Q52*100</f>
        <v>1.8863559629356375</v>
      </c>
      <c r="R54" s="60"/>
    </row>
    <row r="55" spans="6:18" s="51" customFormat="1" ht="14.25">
      <c r="F55" s="187"/>
      <c r="I55" s="187"/>
      <c r="L55" s="187"/>
      <c r="O55" s="187"/>
      <c r="Q55" s="200"/>
      <c r="R55" s="60"/>
    </row>
    <row r="56" spans="3:18" s="51" customFormat="1" ht="14.25">
      <c r="C56" s="65"/>
      <c r="D56" s="65"/>
      <c r="E56" s="65"/>
      <c r="F56" s="217"/>
      <c r="G56" s="65"/>
      <c r="H56" s="65"/>
      <c r="I56" s="217"/>
      <c r="J56" s="65"/>
      <c r="K56" s="65"/>
      <c r="L56" s="217"/>
      <c r="M56" s="65"/>
      <c r="N56" s="65"/>
      <c r="O56" s="217"/>
      <c r="P56" s="65"/>
      <c r="Q56" s="65"/>
      <c r="R56" s="60"/>
    </row>
    <row r="57" spans="2:15" s="51" customFormat="1" ht="15">
      <c r="B57" s="66" t="s">
        <v>80</v>
      </c>
      <c r="F57" s="187"/>
      <c r="I57" s="187"/>
      <c r="L57" s="187"/>
      <c r="O57" s="187"/>
    </row>
    <row r="58" spans="2:15" s="51" customFormat="1" ht="14.25">
      <c r="B58" s="51" t="s">
        <v>99</v>
      </c>
      <c r="F58" s="187"/>
      <c r="I58" s="187"/>
      <c r="L58" s="187"/>
      <c r="O58" s="187"/>
    </row>
    <row r="59" spans="1:15" s="51" customFormat="1" ht="18">
      <c r="A59" s="119" t="s">
        <v>125</v>
      </c>
      <c r="B59" s="118" t="s">
        <v>137</v>
      </c>
      <c r="F59" s="187"/>
      <c r="I59" s="187"/>
      <c r="L59" s="187"/>
      <c r="O59" s="187"/>
    </row>
    <row r="60" spans="1:15" s="51" customFormat="1" ht="18">
      <c r="A60" s="118"/>
      <c r="B60" s="120" t="s">
        <v>138</v>
      </c>
      <c r="F60" s="187"/>
      <c r="I60" s="187"/>
      <c r="L60" s="187"/>
      <c r="O60" s="187"/>
    </row>
    <row r="61" spans="1:15" s="51" customFormat="1" ht="11.25" customHeight="1">
      <c r="A61" s="118"/>
      <c r="B61" s="118"/>
      <c r="F61" s="187"/>
      <c r="I61" s="187"/>
      <c r="L61" s="187"/>
      <c r="O61" s="187"/>
    </row>
    <row r="62" spans="1:15" s="51" customFormat="1" ht="18">
      <c r="A62" s="117" t="s">
        <v>126</v>
      </c>
      <c r="B62" s="118" t="s">
        <v>218</v>
      </c>
      <c r="F62" s="187"/>
      <c r="I62" s="187"/>
      <c r="L62" s="187"/>
      <c r="O62" s="187"/>
    </row>
    <row r="63" spans="1:15" s="51" customFormat="1" ht="18">
      <c r="A63" s="118"/>
      <c r="B63" s="118" t="s">
        <v>257</v>
      </c>
      <c r="F63" s="187"/>
      <c r="I63" s="187"/>
      <c r="L63" s="187"/>
      <c r="O63" s="187"/>
    </row>
    <row r="64" spans="1:15" s="51" customFormat="1" ht="15.75" customHeight="1">
      <c r="A64" s="118"/>
      <c r="B64" s="118" t="s">
        <v>99</v>
      </c>
      <c r="F64" s="187"/>
      <c r="I64" s="187"/>
      <c r="L64" s="187"/>
      <c r="O64" s="187"/>
    </row>
    <row r="65" spans="1:15" s="51" customFormat="1" ht="15.75" customHeight="1">
      <c r="A65" s="117"/>
      <c r="B65" s="118"/>
      <c r="F65" s="187"/>
      <c r="I65" s="187"/>
      <c r="L65" s="187"/>
      <c r="O65" s="187"/>
    </row>
    <row r="66" spans="2:17" ht="16.5" customHeight="1">
      <c r="B66" s="118"/>
      <c r="C66" s="38"/>
      <c r="D66" s="38"/>
      <c r="E66" s="38"/>
      <c r="F66" s="218"/>
      <c r="G66" s="38"/>
      <c r="H66" s="38"/>
      <c r="I66" s="218"/>
      <c r="J66" s="38"/>
      <c r="K66" s="38"/>
      <c r="L66" s="218"/>
      <c r="M66" s="38"/>
      <c r="N66" s="38"/>
      <c r="O66" s="218"/>
      <c r="P66" s="38"/>
      <c r="Q66" s="38"/>
    </row>
    <row r="67" spans="2:17" ht="12.75">
      <c r="B67" s="38"/>
      <c r="C67" s="38"/>
      <c r="D67" s="38"/>
      <c r="E67" s="38"/>
      <c r="F67" s="218"/>
      <c r="G67" s="38"/>
      <c r="H67" s="38"/>
      <c r="I67" s="218"/>
      <c r="J67" s="38"/>
      <c r="K67" s="38"/>
      <c r="L67" s="218"/>
      <c r="M67" s="38"/>
      <c r="N67" s="38"/>
      <c r="O67" s="218"/>
      <c r="P67" s="38"/>
      <c r="Q67" s="38"/>
    </row>
    <row r="68" ht="12.75">
      <c r="Q68" s="38"/>
    </row>
    <row r="95" spans="2:16" ht="12.75">
      <c r="B95" s="38"/>
      <c r="C95" s="38"/>
      <c r="D95" s="38"/>
      <c r="E95" s="38"/>
      <c r="F95" s="218"/>
      <c r="G95" s="38"/>
      <c r="H95" s="38"/>
      <c r="I95" s="218"/>
      <c r="J95" s="38"/>
      <c r="K95" s="38"/>
      <c r="L95" s="218"/>
      <c r="M95" s="38"/>
      <c r="N95" s="38"/>
      <c r="O95" s="218"/>
      <c r="P95" s="115" t="e">
        <f>'[2]weighted avr share'!$O$36/1000</f>
        <v>#REF!</v>
      </c>
    </row>
  </sheetData>
  <sheetProtection/>
  <mergeCells count="15">
    <mergeCell ref="G7:H7"/>
    <mergeCell ref="G9:G12"/>
    <mergeCell ref="H9:H12"/>
    <mergeCell ref="M9:M12"/>
    <mergeCell ref="N9:N12"/>
    <mergeCell ref="J7:K7"/>
    <mergeCell ref="J9:J12"/>
    <mergeCell ref="K9:K12"/>
    <mergeCell ref="D9:D12"/>
    <mergeCell ref="E9:E12"/>
    <mergeCell ref="P7:Q7"/>
    <mergeCell ref="P9:P12"/>
    <mergeCell ref="Q9:Q12"/>
    <mergeCell ref="D7:E7"/>
    <mergeCell ref="M7:N7"/>
  </mergeCells>
  <printOptions gridLines="1"/>
  <pageMargins left="0.22" right="0.17" top="0.17" bottom="0.16" header="0.17" footer="0.1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49"/>
  <sheetViews>
    <sheetView zoomScalePageLayoutView="0" workbookViewId="0" topLeftCell="A16">
      <selection activeCell="D12" sqref="D12"/>
    </sheetView>
  </sheetViews>
  <sheetFormatPr defaultColWidth="9.140625" defaultRowHeight="12.75"/>
  <cols>
    <col min="2" max="2" width="51.28125" style="0" customWidth="1"/>
    <col min="4" max="4" width="16.57421875" style="0" customWidth="1"/>
  </cols>
  <sheetData>
    <row r="1" spans="2:4" ht="15">
      <c r="B1" s="136" t="s">
        <v>150</v>
      </c>
      <c r="C1" s="135"/>
      <c r="D1" s="135"/>
    </row>
    <row r="2" spans="2:4" ht="15">
      <c r="B2" s="136" t="s">
        <v>151</v>
      </c>
      <c r="C2" s="135"/>
      <c r="D2" s="135"/>
    </row>
    <row r="3" spans="2:4" ht="15">
      <c r="B3" s="141"/>
      <c r="C3" s="141"/>
      <c r="D3" s="137">
        <v>2009</v>
      </c>
    </row>
    <row r="4" spans="2:4" ht="15">
      <c r="B4" s="137"/>
      <c r="C4" s="141"/>
      <c r="D4" s="137" t="s">
        <v>152</v>
      </c>
    </row>
    <row r="5" spans="2:4" ht="15">
      <c r="B5" s="141"/>
      <c r="C5" s="141"/>
      <c r="D5" s="137"/>
    </row>
    <row r="6" spans="2:4" ht="15">
      <c r="B6" s="141" t="s">
        <v>34</v>
      </c>
      <c r="C6" s="141"/>
      <c r="D6" s="137"/>
    </row>
    <row r="7" spans="2:4" ht="15">
      <c r="B7" s="141" t="s">
        <v>35</v>
      </c>
      <c r="C7" s="142"/>
      <c r="D7" s="138"/>
    </row>
    <row r="8" spans="2:4" ht="14.25">
      <c r="B8" s="142" t="s">
        <v>112</v>
      </c>
      <c r="C8" s="142">
        <v>4</v>
      </c>
      <c r="D8" s="143">
        <v>27432609</v>
      </c>
    </row>
    <row r="9" spans="2:4" ht="14.25">
      <c r="B9" s="142" t="s">
        <v>153</v>
      </c>
      <c r="C9" s="142">
        <v>5</v>
      </c>
      <c r="D9" s="143">
        <v>2517123</v>
      </c>
    </row>
    <row r="10" spans="2:4" ht="15" thickBot="1">
      <c r="B10" s="142" t="s">
        <v>154</v>
      </c>
      <c r="C10" s="142">
        <v>6</v>
      </c>
      <c r="D10" s="144">
        <v>373969</v>
      </c>
    </row>
    <row r="11" spans="2:4" ht="15" thickBot="1">
      <c r="B11" s="142"/>
      <c r="C11" s="142"/>
      <c r="D11" s="144">
        <v>30323701</v>
      </c>
    </row>
    <row r="12" spans="2:4" ht="14.25">
      <c r="B12" s="142"/>
      <c r="C12" s="142"/>
      <c r="D12" s="138"/>
    </row>
    <row r="13" spans="2:4" ht="15">
      <c r="B13" s="141" t="s">
        <v>155</v>
      </c>
      <c r="C13" s="142"/>
      <c r="D13" s="138"/>
    </row>
    <row r="14" spans="2:4" ht="14.25">
      <c r="B14" s="142" t="s">
        <v>54</v>
      </c>
      <c r="C14" s="142"/>
      <c r="D14" s="143">
        <v>5552350</v>
      </c>
    </row>
    <row r="15" spans="2:4" ht="14.25">
      <c r="B15" s="142" t="s">
        <v>53</v>
      </c>
      <c r="C15" s="142"/>
      <c r="D15" s="143">
        <v>16242532</v>
      </c>
    </row>
    <row r="16" spans="2:4" ht="14.25">
      <c r="B16" s="142" t="s">
        <v>113</v>
      </c>
      <c r="C16" s="142">
        <v>7</v>
      </c>
      <c r="D16" s="143">
        <v>16697047</v>
      </c>
    </row>
    <row r="17" spans="2:4" ht="14.25">
      <c r="B17" s="142" t="s">
        <v>156</v>
      </c>
      <c r="C17" s="142">
        <v>8</v>
      </c>
      <c r="D17" s="143">
        <v>969346</v>
      </c>
    </row>
    <row r="18" spans="2:4" ht="14.25">
      <c r="B18" s="142" t="s">
        <v>157</v>
      </c>
      <c r="C18" s="142"/>
      <c r="D18" s="143">
        <v>641291</v>
      </c>
    </row>
    <row r="19" spans="2:4" ht="14.25">
      <c r="B19" s="142" t="s">
        <v>158</v>
      </c>
      <c r="C19" s="142">
        <v>9</v>
      </c>
      <c r="D19" s="143">
        <v>8538068</v>
      </c>
    </row>
    <row r="20" spans="2:4" ht="14.25">
      <c r="B20" s="142" t="s">
        <v>81</v>
      </c>
      <c r="C20" s="142">
        <v>10</v>
      </c>
      <c r="D20" s="143">
        <v>19711108</v>
      </c>
    </row>
    <row r="21" spans="2:4" ht="15" thickBot="1">
      <c r="B21" s="142" t="s">
        <v>159</v>
      </c>
      <c r="C21" s="142"/>
      <c r="D21" s="144">
        <v>3199333</v>
      </c>
    </row>
    <row r="22" spans="2:4" ht="15" thickBot="1">
      <c r="B22" s="142"/>
      <c r="C22" s="142"/>
      <c r="D22" s="144">
        <v>71551075</v>
      </c>
    </row>
    <row r="23" spans="2:4" ht="14.25">
      <c r="B23" s="142"/>
      <c r="C23" s="142"/>
      <c r="D23" s="138"/>
    </row>
    <row r="24" spans="2:4" ht="15.75" thickBot="1">
      <c r="B24" s="141" t="s">
        <v>160</v>
      </c>
      <c r="C24" s="142"/>
      <c r="D24" s="145">
        <v>101874776</v>
      </c>
    </row>
    <row r="25" spans="2:4" ht="15" thickTop="1">
      <c r="B25" s="142"/>
      <c r="C25" s="142"/>
      <c r="D25" s="138"/>
    </row>
    <row r="26" spans="2:4" ht="15">
      <c r="B26" s="141" t="s">
        <v>37</v>
      </c>
      <c r="C26" s="142"/>
      <c r="D26" s="138"/>
    </row>
    <row r="27" spans="2:4" ht="30">
      <c r="B27" s="141" t="s">
        <v>161</v>
      </c>
      <c r="C27" s="142"/>
      <c r="D27" s="138"/>
    </row>
    <row r="28" spans="2:4" ht="14.25">
      <c r="B28" s="142" t="s">
        <v>57</v>
      </c>
      <c r="C28" s="142">
        <v>11</v>
      </c>
      <c r="D28" s="143">
        <v>45000000</v>
      </c>
    </row>
    <row r="29" spans="2:4" ht="15" thickBot="1">
      <c r="B29" s="142" t="s">
        <v>114</v>
      </c>
      <c r="C29" s="142">
        <v>12</v>
      </c>
      <c r="D29" s="144">
        <v>11565078</v>
      </c>
    </row>
    <row r="30" spans="2:4" ht="15.75" thickBot="1">
      <c r="B30" s="141" t="s">
        <v>62</v>
      </c>
      <c r="C30" s="142"/>
      <c r="D30" s="144">
        <v>56565078</v>
      </c>
    </row>
    <row r="31" spans="2:4" ht="14.25">
      <c r="B31" s="142"/>
      <c r="C31" s="142"/>
      <c r="D31" s="138"/>
    </row>
    <row r="32" spans="2:4" ht="15">
      <c r="B32" s="141" t="s">
        <v>38</v>
      </c>
      <c r="C32" s="142"/>
      <c r="D32" s="138"/>
    </row>
    <row r="33" spans="2:4" ht="14.25">
      <c r="B33" s="142" t="s">
        <v>58</v>
      </c>
      <c r="C33" s="142">
        <v>13</v>
      </c>
      <c r="D33" s="143">
        <v>345789</v>
      </c>
    </row>
    <row r="34" spans="2:4" ht="14.25">
      <c r="B34" s="142" t="s">
        <v>162</v>
      </c>
      <c r="C34" s="142">
        <v>14</v>
      </c>
      <c r="D34" s="143">
        <v>16586846</v>
      </c>
    </row>
    <row r="35" spans="2:4" ht="15" thickBot="1">
      <c r="B35" s="142" t="s">
        <v>116</v>
      </c>
      <c r="C35" s="142">
        <v>15</v>
      </c>
      <c r="D35" s="144">
        <v>1143700</v>
      </c>
    </row>
    <row r="36" spans="2:4" ht="15" thickBot="1">
      <c r="B36" s="142"/>
      <c r="C36" s="142"/>
      <c r="D36" s="144">
        <v>18076335</v>
      </c>
    </row>
    <row r="37" spans="2:4" ht="14.25">
      <c r="B37" s="142"/>
      <c r="C37" s="142"/>
      <c r="D37" s="138"/>
    </row>
    <row r="38" spans="2:4" ht="15">
      <c r="B38" s="141" t="s">
        <v>163</v>
      </c>
      <c r="C38" s="142"/>
      <c r="D38" s="138"/>
    </row>
    <row r="39" spans="2:4" ht="14.25">
      <c r="B39" s="142" t="s">
        <v>164</v>
      </c>
      <c r="C39" s="142">
        <v>16</v>
      </c>
      <c r="D39" s="143">
        <v>8748757</v>
      </c>
    </row>
    <row r="40" spans="2:4" ht="14.25">
      <c r="B40" s="142" t="s">
        <v>117</v>
      </c>
      <c r="C40" s="142"/>
      <c r="D40" s="143">
        <v>2966428</v>
      </c>
    </row>
    <row r="41" spans="2:4" ht="14.25">
      <c r="B41" s="142" t="s">
        <v>58</v>
      </c>
      <c r="C41" s="142">
        <v>13</v>
      </c>
      <c r="D41" s="143">
        <v>127863</v>
      </c>
    </row>
    <row r="42" spans="2:4" ht="14.25">
      <c r="B42" s="142" t="s">
        <v>162</v>
      </c>
      <c r="C42" s="142">
        <v>14</v>
      </c>
      <c r="D42" s="143">
        <v>14173873</v>
      </c>
    </row>
    <row r="43" spans="2:4" ht="15" thickBot="1">
      <c r="B43" s="142" t="s">
        <v>165</v>
      </c>
      <c r="C43" s="142"/>
      <c r="D43" s="144">
        <v>1216442</v>
      </c>
    </row>
    <row r="44" spans="2:4" ht="15" thickBot="1">
      <c r="B44" s="142"/>
      <c r="C44" s="142"/>
      <c r="D44" s="144">
        <v>27233363</v>
      </c>
    </row>
    <row r="45" spans="2:4" ht="14.25">
      <c r="B45" s="142"/>
      <c r="C45" s="142"/>
      <c r="D45" s="138"/>
    </row>
    <row r="46" spans="2:4" ht="15.75" thickBot="1">
      <c r="B46" s="141" t="s">
        <v>166</v>
      </c>
      <c r="C46" s="142"/>
      <c r="D46" s="144">
        <v>45309698</v>
      </c>
    </row>
    <row r="47" spans="2:4" ht="15.75" thickBot="1">
      <c r="B47" s="141" t="s">
        <v>167</v>
      </c>
      <c r="C47" s="142"/>
      <c r="D47" s="145">
        <v>101874776</v>
      </c>
    </row>
    <row r="48" spans="2:4" ht="13.5" thickTop="1">
      <c r="B48" s="139"/>
      <c r="C48" s="139"/>
      <c r="D48" s="146"/>
    </row>
    <row r="49" ht="14.25">
      <c r="B49" s="14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zoomScalePageLayoutView="0" workbookViewId="0" topLeftCell="A25">
      <selection activeCell="E60" sqref="E60"/>
    </sheetView>
  </sheetViews>
  <sheetFormatPr defaultColWidth="9.140625" defaultRowHeight="12.75"/>
  <cols>
    <col min="1" max="1" width="6.00390625" style="0" customWidth="1"/>
    <col min="2" max="2" width="50.57421875" style="0" customWidth="1"/>
    <col min="3" max="3" width="20.7109375" style="0" hidden="1" customWidth="1"/>
    <col min="4" max="4" width="4.421875" style="0" customWidth="1"/>
    <col min="5" max="5" width="21.8515625" style="0" customWidth="1"/>
    <col min="6" max="6" width="4.421875" style="0" customWidth="1"/>
    <col min="7" max="7" width="20.7109375" style="0" customWidth="1"/>
  </cols>
  <sheetData>
    <row r="1" spans="2:8" ht="20.25">
      <c r="B1" s="254" t="str">
        <f>+'Income statement'!B1</f>
        <v>HANDAL RESOURCES  BERHAD (816839-X)</v>
      </c>
      <c r="C1" s="254"/>
      <c r="D1" s="254"/>
      <c r="E1" s="254"/>
      <c r="F1" s="254"/>
      <c r="G1" s="254"/>
      <c r="H1" s="254"/>
    </row>
    <row r="2" spans="2:8" ht="18">
      <c r="B2" s="3"/>
      <c r="C2" s="3"/>
      <c r="D2" s="3"/>
      <c r="E2" s="3"/>
      <c r="F2" s="3"/>
      <c r="G2" s="3"/>
      <c r="H2" s="3"/>
    </row>
    <row r="3" spans="2:8" s="69" customFormat="1" ht="15.75">
      <c r="B3" s="67" t="s">
        <v>211</v>
      </c>
      <c r="C3" s="68"/>
      <c r="D3" s="68"/>
      <c r="E3" s="68"/>
      <c r="F3" s="68"/>
      <c r="G3" s="68"/>
      <c r="H3" s="68"/>
    </row>
    <row r="4" s="69" customFormat="1" ht="15.75">
      <c r="B4" s="67" t="s">
        <v>279</v>
      </c>
    </row>
    <row r="5" s="69" customFormat="1" ht="15"/>
    <row r="6" spans="3:7" s="69" customFormat="1" ht="15.75">
      <c r="C6" s="70" t="s">
        <v>78</v>
      </c>
      <c r="D6" s="70"/>
      <c r="E6" s="70" t="s">
        <v>78</v>
      </c>
      <c r="F6" s="70"/>
      <c r="G6" s="70" t="s">
        <v>119</v>
      </c>
    </row>
    <row r="7" spans="3:7" s="69" customFormat="1" ht="15.75">
      <c r="C7" s="70" t="s">
        <v>79</v>
      </c>
      <c r="D7" s="70"/>
      <c r="E7" s="70" t="s">
        <v>79</v>
      </c>
      <c r="F7" s="70"/>
      <c r="G7" s="70" t="s">
        <v>79</v>
      </c>
    </row>
    <row r="8" spans="3:7" s="69" customFormat="1" ht="15.75">
      <c r="C8" s="70" t="e">
        <f>+'Income statement'!#REF!</f>
        <v>#REF!</v>
      </c>
      <c r="D8" s="70"/>
      <c r="E8" s="57" t="s">
        <v>278</v>
      </c>
      <c r="F8" s="70"/>
      <c r="G8" s="71" t="s">
        <v>255</v>
      </c>
    </row>
    <row r="9" spans="3:7" s="69" customFormat="1" ht="15.75">
      <c r="C9" s="68" t="s">
        <v>3</v>
      </c>
      <c r="D9" s="68"/>
      <c r="E9" s="68" t="s">
        <v>3</v>
      </c>
      <c r="F9" s="68"/>
      <c r="G9" s="68" t="s">
        <v>3</v>
      </c>
    </row>
    <row r="10" spans="3:7" s="69" customFormat="1" ht="15.75">
      <c r="C10" s="68"/>
      <c r="D10" s="68"/>
      <c r="E10" s="68"/>
      <c r="F10" s="68"/>
      <c r="G10" s="68"/>
    </row>
    <row r="11" spans="2:7" s="69" customFormat="1" ht="15.75">
      <c r="B11" s="67" t="s">
        <v>34</v>
      </c>
      <c r="C11" s="68"/>
      <c r="D11" s="68"/>
      <c r="E11" s="68"/>
      <c r="F11" s="68"/>
      <c r="G11" s="68"/>
    </row>
    <row r="12" spans="2:7" s="69" customFormat="1" ht="16.5" customHeight="1">
      <c r="B12" s="67" t="s">
        <v>35</v>
      </c>
      <c r="C12" s="105"/>
      <c r="D12" s="68"/>
      <c r="E12" s="68"/>
      <c r="F12" s="68"/>
      <c r="G12" s="68"/>
    </row>
    <row r="13" spans="2:8" s="69" customFormat="1" ht="16.5" customHeight="1">
      <c r="B13" s="72" t="s">
        <v>112</v>
      </c>
      <c r="C13" s="106">
        <f>'[3]1conso-YTD'!$N$65</f>
        <v>27678.76659</v>
      </c>
      <c r="D13" s="73"/>
      <c r="E13" s="106">
        <f>'[9]1conso-YTD (2)'!$V$70+1</f>
        <v>68082.44316002988</v>
      </c>
      <c r="F13" s="73"/>
      <c r="G13" s="106">
        <f>63197587/1000</f>
        <v>63197.587</v>
      </c>
      <c r="H13" s="74"/>
    </row>
    <row r="14" spans="2:8" s="69" customFormat="1" ht="16.5" customHeight="1">
      <c r="B14" s="72" t="s">
        <v>239</v>
      </c>
      <c r="C14" s="106"/>
      <c r="D14" s="73"/>
      <c r="E14" s="106">
        <f>'[9]1conso-YTD (2)'!$V$72</f>
        <v>11958.567</v>
      </c>
      <c r="F14" s="73"/>
      <c r="G14" s="176">
        <f>11958567/1000</f>
        <v>11958.567</v>
      </c>
      <c r="H14" s="74"/>
    </row>
    <row r="15" spans="2:8" s="69" customFormat="1" ht="16.5" customHeight="1">
      <c r="B15" s="72" t="s">
        <v>262</v>
      </c>
      <c r="C15" s="106"/>
      <c r="D15" s="73"/>
      <c r="E15" s="106">
        <f>'[9]1conso-YTD (2)'!$V$75</f>
        <v>1.434</v>
      </c>
      <c r="F15" s="73"/>
      <c r="G15" s="176">
        <v>1</v>
      </c>
      <c r="H15" s="74"/>
    </row>
    <row r="16" spans="2:8" s="69" customFormat="1" ht="16.5" customHeight="1">
      <c r="B16" s="72" t="s">
        <v>251</v>
      </c>
      <c r="C16" s="106"/>
      <c r="D16" s="73"/>
      <c r="E16" s="106">
        <f>'[9]1conso-YTD (2)'!$V$77-1</f>
        <v>369.6</v>
      </c>
      <c r="F16" s="73"/>
      <c r="G16" s="176">
        <f>709600/1000-1</f>
        <v>708.6</v>
      </c>
      <c r="H16" s="74"/>
    </row>
    <row r="17" spans="2:8" s="69" customFormat="1" ht="16.5" customHeight="1" thickBot="1">
      <c r="B17" s="72" t="s">
        <v>146</v>
      </c>
      <c r="C17" s="107">
        <f>'[3]1conso-YTD'!$N$71</f>
        <v>373.97199</v>
      </c>
      <c r="D17" s="73"/>
      <c r="E17" s="107">
        <f>'[9]1conso-YTD (2)'!$V$78</f>
        <v>373.969</v>
      </c>
      <c r="F17" s="73"/>
      <c r="G17" s="107">
        <f>373969/1000</f>
        <v>373.969</v>
      </c>
      <c r="H17" s="75"/>
    </row>
    <row r="18" spans="2:8" s="69" customFormat="1" ht="16.5" thickBot="1">
      <c r="B18" s="76"/>
      <c r="C18" s="107">
        <f>SUM(C13:C17)</f>
        <v>28052.738579999997</v>
      </c>
      <c r="D18" s="73"/>
      <c r="E18" s="114">
        <f>SUM(E13:E17)</f>
        <v>80786.01316002988</v>
      </c>
      <c r="F18" s="73"/>
      <c r="G18" s="107">
        <f>SUM(G13:G17)+1</f>
        <v>76240.723</v>
      </c>
      <c r="H18" s="75"/>
    </row>
    <row r="19" spans="2:8" s="69" customFormat="1" ht="15">
      <c r="B19" s="72"/>
      <c r="C19" s="108"/>
      <c r="D19" s="77"/>
      <c r="E19" s="108"/>
      <c r="F19" s="77"/>
      <c r="G19" s="108"/>
      <c r="H19" s="75"/>
    </row>
    <row r="20" spans="2:8" s="69" customFormat="1" ht="15">
      <c r="B20" s="72"/>
      <c r="C20" s="108"/>
      <c r="D20" s="77"/>
      <c r="E20" s="108"/>
      <c r="F20" s="77"/>
      <c r="G20" s="108"/>
      <c r="H20" s="75"/>
    </row>
    <row r="21" spans="2:8" s="69" customFormat="1" ht="15.75">
      <c r="B21" s="76" t="s">
        <v>4</v>
      </c>
      <c r="C21" s="108"/>
      <c r="D21" s="77"/>
      <c r="E21" s="108"/>
      <c r="F21" s="77"/>
      <c r="G21" s="108"/>
      <c r="H21" s="75"/>
    </row>
    <row r="22" spans="2:8" s="69" customFormat="1" ht="15">
      <c r="B22" s="75" t="s">
        <v>54</v>
      </c>
      <c r="C22" s="106">
        <f>'[3]1conso-YTD'!$N$75</f>
        <v>5239.74082</v>
      </c>
      <c r="D22" s="73"/>
      <c r="E22" s="106">
        <f>'[9]1conso-YTD (2)'!$V$83</f>
        <v>9559.94959</v>
      </c>
      <c r="F22" s="73"/>
      <c r="G22" s="106">
        <f>8350604/1000</f>
        <v>8350.604</v>
      </c>
      <c r="H22" s="75"/>
    </row>
    <row r="23" spans="2:8" s="69" customFormat="1" ht="15">
      <c r="B23" s="75" t="s">
        <v>53</v>
      </c>
      <c r="C23" s="106">
        <f>'[3]1conso-YTD'!$N$77</f>
        <v>17984.309699999994</v>
      </c>
      <c r="D23" s="73"/>
      <c r="E23" s="106">
        <f>'[9]1conso-YTD (2)'!$V$84</f>
        <v>17097.91923</v>
      </c>
      <c r="F23" s="73"/>
      <c r="G23" s="106">
        <f>10964899/1000</f>
        <v>10964.899</v>
      </c>
      <c r="H23" s="75"/>
    </row>
    <row r="24" spans="2:8" s="69" customFormat="1" ht="15">
      <c r="B24" s="75" t="s">
        <v>113</v>
      </c>
      <c r="C24" s="106">
        <f>'[3]1conso-YTD'!$N$78</f>
        <v>18688.837959999997</v>
      </c>
      <c r="D24" s="73"/>
      <c r="E24" s="106">
        <f>'[9]1conso-YTD (2)'!$V$91</f>
        <v>33142.5311002481</v>
      </c>
      <c r="F24" s="73"/>
      <c r="G24" s="106">
        <f>25509485/1000</f>
        <v>25509.485</v>
      </c>
      <c r="H24" s="75"/>
    </row>
    <row r="25" spans="2:8" s="69" customFormat="1" ht="15">
      <c r="B25" s="75" t="s">
        <v>240</v>
      </c>
      <c r="C25" s="106">
        <f>'[3]1conso-YTD'!$N$76</f>
        <v>199</v>
      </c>
      <c r="D25" s="73"/>
      <c r="E25" s="176">
        <f>'[9]1conso-YTD (2)'!$V$87</f>
        <v>921.5115900000002</v>
      </c>
      <c r="F25" s="73"/>
      <c r="G25" s="106">
        <f>6774661/1000</f>
        <v>6774.661</v>
      </c>
      <c r="H25" s="75"/>
    </row>
    <row r="26" spans="2:8" s="69" customFormat="1" ht="15">
      <c r="B26" s="75" t="s">
        <v>55</v>
      </c>
      <c r="C26" s="106">
        <f>'[3]1conso-YTD'!$N$80+'[3]1conso-YTD'!$N$81+750</f>
        <v>1382.37885</v>
      </c>
      <c r="D26" s="73"/>
      <c r="E26" s="106">
        <f>'[9]1conso-YTD (2)'!$V$88+'[9]1conso-YTD (2)'!$V$93+'[9]1conso-YTD (2)'!$V$94+'[9]1conso-YTD (2)'!$V$95</f>
        <v>1319.788693166113</v>
      </c>
      <c r="F26" s="73"/>
      <c r="G26" s="106">
        <f>(617175+1983914)/1000</f>
        <v>2601.089</v>
      </c>
      <c r="H26" s="75"/>
    </row>
    <row r="27" spans="2:8" s="69" customFormat="1" ht="15">
      <c r="B27" s="75" t="s">
        <v>241</v>
      </c>
      <c r="C27" s="106"/>
      <c r="D27" s="73"/>
      <c r="E27" s="213">
        <f>'[9]1conso-YTD (2)'!$V$113</f>
        <v>5483.89775</v>
      </c>
      <c r="F27" s="73"/>
      <c r="G27" s="176">
        <f>7461675/1000</f>
        <v>7461.675</v>
      </c>
      <c r="H27" s="75"/>
    </row>
    <row r="28" spans="2:8" s="69" customFormat="1" ht="15">
      <c r="B28" s="75" t="s">
        <v>158</v>
      </c>
      <c r="C28" s="106">
        <f>'[3]1conso-YTD'!$N$82</f>
        <v>29349.86621</v>
      </c>
      <c r="D28" s="73"/>
      <c r="E28" s="106">
        <f>'[9]1conso-YTD (2)'!$V$110-1</f>
        <v>175.24378</v>
      </c>
      <c r="F28" s="73"/>
      <c r="G28" s="106">
        <f>7178807/1000</f>
        <v>7178.807</v>
      </c>
      <c r="H28" s="75"/>
    </row>
    <row r="29" spans="2:8" s="69" customFormat="1" ht="15">
      <c r="B29" s="75" t="s">
        <v>242</v>
      </c>
      <c r="C29" s="106"/>
      <c r="D29" s="73"/>
      <c r="E29" s="106">
        <f>'[9]1conso-YTD (2)'!$V$111</f>
        <v>14101.53573</v>
      </c>
      <c r="F29" s="73"/>
      <c r="G29" s="106">
        <f>14857431/1000</f>
        <v>14857.431</v>
      </c>
      <c r="H29" s="75"/>
    </row>
    <row r="30" spans="2:8" s="69" customFormat="1" ht="15.75" thickBot="1">
      <c r="B30" s="75" t="s">
        <v>143</v>
      </c>
      <c r="C30" s="116">
        <f>'[3]1conso-YTD'!$N$83</f>
        <v>3943.64952</v>
      </c>
      <c r="D30" s="73"/>
      <c r="E30" s="106">
        <f>'[9]1conso-YTD (2)'!$V$112</f>
        <v>3976.0473265950154</v>
      </c>
      <c r="F30" s="73"/>
      <c r="G30" s="106">
        <f>4714641/1000</f>
        <v>4714.641</v>
      </c>
      <c r="H30" s="75"/>
    </row>
    <row r="31" spans="2:8" s="69" customFormat="1" ht="15.75" thickBot="1">
      <c r="B31" s="72" t="s">
        <v>261</v>
      </c>
      <c r="C31" s="108"/>
      <c r="D31" s="77"/>
      <c r="E31" s="177">
        <f>'[9]1conso-YTD (2)'!$V$109</f>
        <v>2090.35506</v>
      </c>
      <c r="F31" s="77"/>
      <c r="G31" s="212">
        <f>1583055/1000</f>
        <v>1583.055</v>
      </c>
      <c r="H31" s="75"/>
    </row>
    <row r="32" spans="2:8" s="69" customFormat="1" ht="15.75" thickBot="1">
      <c r="B32" s="72"/>
      <c r="C32" s="107">
        <f>SUM(C22:C30)+0.5</f>
        <v>76788.28306</v>
      </c>
      <c r="D32" s="77"/>
      <c r="E32" s="114">
        <f>SUM(E22:E31)+1</f>
        <v>87869.77985000925</v>
      </c>
      <c r="F32" s="77"/>
      <c r="G32" s="107">
        <f>SUM(G22:G31)+1</f>
        <v>89997.347</v>
      </c>
      <c r="H32" s="75"/>
    </row>
    <row r="33" spans="2:8" s="69" customFormat="1" ht="15">
      <c r="B33" s="72"/>
      <c r="C33" s="108"/>
      <c r="D33" s="77"/>
      <c r="E33" s="108"/>
      <c r="F33" s="77"/>
      <c r="G33" s="108"/>
      <c r="H33" s="75"/>
    </row>
    <row r="34" spans="2:8" s="69" customFormat="1" ht="16.5" thickBot="1">
      <c r="B34" s="76" t="s">
        <v>36</v>
      </c>
      <c r="C34" s="109">
        <f>+C32+C18</f>
        <v>104841.02163999999</v>
      </c>
      <c r="D34" s="77"/>
      <c r="E34" s="109">
        <f>+E32+E18</f>
        <v>168655.79301003914</v>
      </c>
      <c r="F34" s="77"/>
      <c r="G34" s="109">
        <f>G18+G32</f>
        <v>166238.07</v>
      </c>
      <c r="H34" s="75"/>
    </row>
    <row r="35" spans="2:8" s="69" customFormat="1" ht="15.75" thickTop="1">
      <c r="B35" s="72"/>
      <c r="C35" s="108"/>
      <c r="D35" s="77"/>
      <c r="E35" s="108"/>
      <c r="F35" s="77"/>
      <c r="G35" s="108"/>
      <c r="H35" s="75"/>
    </row>
    <row r="36" spans="2:8" s="69" customFormat="1" ht="15.75">
      <c r="B36" s="76" t="s">
        <v>37</v>
      </c>
      <c r="C36" s="108"/>
      <c r="D36" s="77"/>
      <c r="E36" s="108"/>
      <c r="F36" s="77"/>
      <c r="G36" s="108"/>
      <c r="H36" s="75"/>
    </row>
    <row r="37" spans="2:8" s="69" customFormat="1" ht="15.75">
      <c r="B37" s="76" t="s">
        <v>56</v>
      </c>
      <c r="C37" s="108"/>
      <c r="D37" s="77"/>
      <c r="E37" s="108"/>
      <c r="F37" s="77"/>
      <c r="G37" s="108"/>
      <c r="H37" s="75"/>
    </row>
    <row r="38" spans="2:8" s="69" customFormat="1" ht="15">
      <c r="B38" s="75" t="s">
        <v>57</v>
      </c>
      <c r="C38" s="106">
        <f>'[3]1conso-YTD'!$N$95</f>
        <v>45000</v>
      </c>
      <c r="D38" s="73"/>
      <c r="E38" s="106">
        <f>'[9]1conso-YTD (2)'!$V$122</f>
        <v>79999.99999999999</v>
      </c>
      <c r="F38" s="73"/>
      <c r="G38" s="106">
        <f>80000000/1000</f>
        <v>80000</v>
      </c>
      <c r="H38" s="75"/>
    </row>
    <row r="39" spans="2:8" s="69" customFormat="1" ht="15">
      <c r="B39" s="75" t="s">
        <v>245</v>
      </c>
      <c r="C39" s="106"/>
      <c r="D39" s="73"/>
      <c r="E39" s="106">
        <f>'[9]1conso-YTD (2)'!$V$123</f>
        <v>0</v>
      </c>
      <c r="F39" s="73"/>
      <c r="G39" s="176">
        <f>-74370/1000</f>
        <v>-74.37</v>
      </c>
      <c r="H39" s="75"/>
    </row>
    <row r="40" spans="2:8" s="69" customFormat="1" ht="15">
      <c r="B40" s="75" t="s">
        <v>10</v>
      </c>
      <c r="C40" s="106"/>
      <c r="D40" s="73"/>
      <c r="E40" s="106">
        <f>'[9]1conso-YTD (2)'!$V$125</f>
        <v>28.99172</v>
      </c>
      <c r="F40" s="73"/>
      <c r="G40" s="176">
        <v>0</v>
      </c>
      <c r="H40" s="75"/>
    </row>
    <row r="41" spans="2:8" s="69" customFormat="1" ht="15.75" thickBot="1">
      <c r="B41" s="75" t="s">
        <v>114</v>
      </c>
      <c r="C41" s="107">
        <f>'[3]1conso-YTD'!$N$98+750</f>
        <v>12847.421649</v>
      </c>
      <c r="D41" s="73"/>
      <c r="E41" s="203">
        <f>'[9]1conso-YTD (2)'!$V$126+'[9]1conso-YTD (2)'!$V$127</f>
        <v>20692.13293015178</v>
      </c>
      <c r="F41" s="73"/>
      <c r="G41" s="107">
        <f>18647136/1000</f>
        <v>18647.136</v>
      </c>
      <c r="H41" s="75"/>
    </row>
    <row r="42" spans="2:8" s="69" customFormat="1" ht="15">
      <c r="B42" s="75" t="s">
        <v>148</v>
      </c>
      <c r="C42" s="133">
        <f>SUM(C38:C41)</f>
        <v>57847.421648999996</v>
      </c>
      <c r="D42" s="77"/>
      <c r="E42" s="204">
        <f>SUM(E38:E41)</f>
        <v>100721.12465015177</v>
      </c>
      <c r="F42" s="77"/>
      <c r="G42" s="133">
        <f>SUM(G38:G41)</f>
        <v>98572.766</v>
      </c>
      <c r="H42" s="75"/>
    </row>
    <row r="43" spans="2:8" s="69" customFormat="1" ht="15">
      <c r="B43" s="75" t="s">
        <v>149</v>
      </c>
      <c r="C43" s="106">
        <f>'[3]1conso-YTD'!$N$101</f>
        <v>-2.369579</v>
      </c>
      <c r="D43" s="73"/>
      <c r="E43" s="205">
        <f>'[9]1conso-YTD (2)'!$V$129</f>
        <v>4.881493599999994</v>
      </c>
      <c r="F43" s="73"/>
      <c r="G43" s="176">
        <f>13504/1000</f>
        <v>13.504</v>
      </c>
      <c r="H43" s="75"/>
    </row>
    <row r="44" spans="2:8" s="69" customFormat="1" ht="15.75" thickBot="1">
      <c r="B44" s="75" t="s">
        <v>120</v>
      </c>
      <c r="C44" s="134">
        <f>SUM(C42:C43)</f>
        <v>57845.05207</v>
      </c>
      <c r="D44" s="77"/>
      <c r="E44" s="206">
        <f>SUM(E42:E43)</f>
        <v>100726.00614375177</v>
      </c>
      <c r="F44" s="77"/>
      <c r="G44" s="134">
        <f>SUM(G42:G43)+1</f>
        <v>98587.27</v>
      </c>
      <c r="H44" s="75"/>
    </row>
    <row r="45" spans="2:8" s="69" customFormat="1" ht="15.75">
      <c r="B45" s="78"/>
      <c r="C45" s="106"/>
      <c r="D45" s="77"/>
      <c r="E45" s="108"/>
      <c r="F45" s="77"/>
      <c r="G45" s="106"/>
      <c r="H45" s="75"/>
    </row>
    <row r="46" spans="2:8" s="69" customFormat="1" ht="15.75">
      <c r="B46" s="78" t="s">
        <v>38</v>
      </c>
      <c r="C46" s="106"/>
      <c r="D46" s="77"/>
      <c r="E46" s="108"/>
      <c r="F46" s="77"/>
      <c r="G46" s="106"/>
      <c r="H46" s="75"/>
    </row>
    <row r="47" spans="2:8" s="69" customFormat="1" ht="15">
      <c r="B47" s="75" t="s">
        <v>58</v>
      </c>
      <c r="C47" s="106">
        <f>'[3]1conso-YTD'!$N$106</f>
        <v>128</v>
      </c>
      <c r="D47" s="73"/>
      <c r="E47" s="106">
        <f>'[9]1conso-YTD (2)'!$V$134</f>
        <v>131.92743</v>
      </c>
      <c r="F47" s="73"/>
      <c r="G47" s="106">
        <f>184808/1000</f>
        <v>184.808</v>
      </c>
      <c r="H47" s="75"/>
    </row>
    <row r="48" spans="2:8" s="69" customFormat="1" ht="15">
      <c r="B48" s="75" t="s">
        <v>115</v>
      </c>
      <c r="C48" s="106">
        <f>'[3]1conso-YTD'!$N$107-5000</f>
        <v>16845.727010000002</v>
      </c>
      <c r="D48" s="73"/>
      <c r="E48" s="106">
        <f>'[9]1conso-YTD (2)'!$V$135</f>
        <v>25086.42121</v>
      </c>
      <c r="F48" s="73"/>
      <c r="G48" s="106">
        <f>(8800024+16119332)/1000</f>
        <v>24919.356</v>
      </c>
      <c r="H48" s="75"/>
    </row>
    <row r="49" spans="2:8" s="69" customFormat="1" ht="15.75" thickBot="1">
      <c r="B49" s="75" t="s">
        <v>116</v>
      </c>
      <c r="C49" s="107">
        <f>'[3]1conso-YTD'!$N$108</f>
        <v>1143.5</v>
      </c>
      <c r="D49" s="73"/>
      <c r="E49" s="107">
        <f>'[9]1conso-YTD (2)'!$V$136</f>
        <v>3298.5759999999996</v>
      </c>
      <c r="F49" s="73"/>
      <c r="G49" s="107">
        <f>1538000/1000</f>
        <v>1538</v>
      </c>
      <c r="H49" s="75"/>
    </row>
    <row r="50" spans="2:8" s="69" customFormat="1" ht="16.5" thickBot="1">
      <c r="B50" s="78"/>
      <c r="C50" s="107">
        <f>SUM(C47:C49)</f>
        <v>18117.227010000002</v>
      </c>
      <c r="D50" s="77"/>
      <c r="E50" s="114">
        <f>SUM(E47:E49)</f>
        <v>28516.92464</v>
      </c>
      <c r="F50" s="77"/>
      <c r="G50" s="114">
        <f>SUM(G47:G49)</f>
        <v>26642.164</v>
      </c>
      <c r="H50" s="75"/>
    </row>
    <row r="51" spans="2:8" s="69" customFormat="1" ht="15.75">
      <c r="B51" s="78"/>
      <c r="C51" s="106"/>
      <c r="D51" s="77"/>
      <c r="E51" s="108"/>
      <c r="F51" s="77"/>
      <c r="G51" s="224"/>
      <c r="H51" s="75"/>
    </row>
    <row r="52" spans="2:8" s="69" customFormat="1" ht="15.75">
      <c r="B52" s="78" t="s">
        <v>39</v>
      </c>
      <c r="C52" s="108"/>
      <c r="D52" s="77"/>
      <c r="E52" s="108"/>
      <c r="F52" s="77"/>
      <c r="G52" s="225"/>
      <c r="H52" s="75"/>
    </row>
    <row r="53" spans="2:8" s="69" customFormat="1" ht="15">
      <c r="B53" s="72" t="s">
        <v>59</v>
      </c>
      <c r="C53" s="106">
        <f>'[3]1conso-YTD'!$N$111</f>
        <v>8518.03714</v>
      </c>
      <c r="D53" s="73"/>
      <c r="E53" s="106">
        <f>'[9]1conso-YTD (2)'!$V$142</f>
        <v>17462.08457</v>
      </c>
      <c r="F53" s="73"/>
      <c r="G53" s="106">
        <f>13243103/1000</f>
        <v>13243.103</v>
      </c>
      <c r="H53" s="75"/>
    </row>
    <row r="54" spans="2:8" s="69" customFormat="1" ht="15">
      <c r="B54" s="72" t="s">
        <v>117</v>
      </c>
      <c r="C54" s="106">
        <f>'[3]1conso-YTD'!$N$112</f>
        <v>2186.2584</v>
      </c>
      <c r="D54" s="73"/>
      <c r="E54" s="205">
        <f>'[9]1conso-YTD (2)'!$V$143+'[9]1conso-YTD (2)'!$V$144</f>
        <v>3378.353080000001</v>
      </c>
      <c r="F54" s="73"/>
      <c r="G54" s="106">
        <f>4377901/1000</f>
        <v>4377.901</v>
      </c>
      <c r="H54" s="75"/>
    </row>
    <row r="55" spans="2:8" s="69" customFormat="1" ht="15">
      <c r="B55" s="72" t="s">
        <v>58</v>
      </c>
      <c r="C55" s="106">
        <f>'[3]1conso-YTD'!$N$113</f>
        <v>311.98563</v>
      </c>
      <c r="D55" s="73"/>
      <c r="E55" s="106">
        <f>'[9]1conso-YTD (2)'!$V$153</f>
        <v>118.97192999999999</v>
      </c>
      <c r="F55" s="73"/>
      <c r="G55" s="106">
        <f>131429/1000</f>
        <v>131.429</v>
      </c>
      <c r="H55" s="75"/>
    </row>
    <row r="56" spans="2:8" s="69" customFormat="1" ht="15">
      <c r="B56" s="75" t="s">
        <v>287</v>
      </c>
      <c r="C56" s="106"/>
      <c r="D56" s="73"/>
      <c r="E56" s="106">
        <f>'[9]1conso-YTD (2)'!$V$139</f>
        <v>2583</v>
      </c>
      <c r="F56" s="73"/>
      <c r="G56" s="176">
        <v>0</v>
      </c>
      <c r="H56" s="75"/>
    </row>
    <row r="57" spans="2:8" s="69" customFormat="1" ht="15">
      <c r="B57" s="72" t="s">
        <v>60</v>
      </c>
      <c r="C57" s="106">
        <f>'[3]1conso-YTD'!$N$114+5000</f>
        <v>17328.22855</v>
      </c>
      <c r="D57" s="73"/>
      <c r="E57" s="106">
        <f>'[9]1conso-YTD (2)'!$V$154</f>
        <v>14721.08559</v>
      </c>
      <c r="F57" s="73"/>
      <c r="G57" s="106">
        <f>(8327437+7769000+4470621+198925+2490654)/1000</f>
        <v>23256.637</v>
      </c>
      <c r="H57" s="75"/>
    </row>
    <row r="58" spans="2:8" s="69" customFormat="1" ht="15.75" thickBot="1">
      <c r="B58" s="72" t="s">
        <v>61</v>
      </c>
      <c r="C58" s="106">
        <f>'[3]1conso-YTD'!$N$115</f>
        <v>1489.59725</v>
      </c>
      <c r="D58" s="73"/>
      <c r="E58" s="223">
        <f>'[9]1conso-YTD (2)'!$V$155</f>
        <v>1148.865</v>
      </c>
      <c r="F58" s="73"/>
      <c r="G58" s="212">
        <v>0</v>
      </c>
      <c r="H58" s="75"/>
    </row>
    <row r="59" spans="2:8" s="69" customFormat="1" ht="15.75" thickBot="1">
      <c r="B59" s="75"/>
      <c r="C59" s="114">
        <f>SUM(C53:C58)</f>
        <v>29834.10697</v>
      </c>
      <c r="D59" s="77"/>
      <c r="E59" s="114">
        <f>SUM(E53:E58)+1</f>
        <v>39413.36017</v>
      </c>
      <c r="F59" s="77"/>
      <c r="G59" s="114">
        <f>SUM(G53:G58)</f>
        <v>41009.07</v>
      </c>
      <c r="H59" s="75"/>
    </row>
    <row r="60" spans="2:8" s="69" customFormat="1" ht="12.75" customHeight="1">
      <c r="B60" s="75"/>
      <c r="C60" s="108"/>
      <c r="D60" s="77"/>
      <c r="E60" s="108"/>
      <c r="F60" s="77"/>
      <c r="G60" s="108"/>
      <c r="H60" s="75"/>
    </row>
    <row r="61" spans="2:8" s="69" customFormat="1" ht="15.75">
      <c r="B61" s="78" t="s">
        <v>40</v>
      </c>
      <c r="C61" s="108">
        <f>+C59+C50</f>
        <v>47951.33398</v>
      </c>
      <c r="D61" s="77"/>
      <c r="E61" s="108">
        <f>+E59+E50</f>
        <v>67930.28481</v>
      </c>
      <c r="F61" s="77"/>
      <c r="G61" s="108">
        <f>G50+G59</f>
        <v>67651.234</v>
      </c>
      <c r="H61" s="75"/>
    </row>
    <row r="62" spans="3:8" s="69" customFormat="1" ht="12.75" customHeight="1">
      <c r="C62" s="108"/>
      <c r="D62" s="77"/>
      <c r="E62" s="108"/>
      <c r="F62" s="77"/>
      <c r="G62" s="225"/>
      <c r="H62" s="75"/>
    </row>
    <row r="63" spans="2:8" s="69" customFormat="1" ht="16.5" thickBot="1">
      <c r="B63" s="67" t="s">
        <v>41</v>
      </c>
      <c r="C63" s="109">
        <f>C61+C44</f>
        <v>105796.38605</v>
      </c>
      <c r="D63" s="70"/>
      <c r="E63" s="109">
        <f>E61+E44</f>
        <v>168656.29095375177</v>
      </c>
      <c r="F63" s="70"/>
      <c r="G63" s="109">
        <f>G44+G61-1</f>
        <v>166237.50400000002</v>
      </c>
      <c r="H63" s="75"/>
    </row>
    <row r="64" spans="2:8" s="69" customFormat="1" ht="16.5" thickTop="1">
      <c r="B64" s="67"/>
      <c r="C64" s="73"/>
      <c r="D64" s="77"/>
      <c r="E64" s="77"/>
      <c r="F64" s="77"/>
      <c r="G64" s="73"/>
      <c r="H64" s="75"/>
    </row>
    <row r="65" spans="2:8" s="69" customFormat="1" ht="15.75">
      <c r="B65" s="67"/>
      <c r="D65" s="73"/>
      <c r="E65" s="73"/>
      <c r="F65" s="73"/>
      <c r="G65" s="73"/>
      <c r="H65" s="75"/>
    </row>
    <row r="66" spans="2:8" s="69" customFormat="1" ht="15" hidden="1">
      <c r="B66" s="69" t="s">
        <v>6</v>
      </c>
      <c r="C66" s="79" t="e">
        <f>+(+#REF!-C19+#REF!)/43560</f>
        <v>#REF!</v>
      </c>
      <c r="D66" s="79"/>
      <c r="E66" s="79"/>
      <c r="F66" s="79"/>
      <c r="G66" s="79" t="e">
        <f>+(+#REF!-G19+#REF!)/43560</f>
        <v>#REF!</v>
      </c>
      <c r="H66" s="75"/>
    </row>
    <row r="67" spans="2:8" s="69" customFormat="1" ht="15">
      <c r="B67" s="255" t="s">
        <v>127</v>
      </c>
      <c r="C67" s="79"/>
      <c r="D67" s="79"/>
      <c r="E67" s="79"/>
      <c r="F67" s="79"/>
      <c r="G67" s="79"/>
      <c r="H67" s="75"/>
    </row>
    <row r="68" spans="2:8" s="69" customFormat="1" ht="15">
      <c r="B68" s="255"/>
      <c r="C68" s="79">
        <f>+C42/90000</f>
        <v>0.6427491294333333</v>
      </c>
      <c r="D68" s="79"/>
      <c r="E68" s="79">
        <f>+E42/159750</f>
        <v>0.6304921730838922</v>
      </c>
      <c r="F68" s="79"/>
      <c r="G68" s="79">
        <f>G42/160000</f>
        <v>0.6160797875</v>
      </c>
      <c r="H68" s="75"/>
    </row>
    <row r="69" s="69" customFormat="1" ht="9.75" customHeight="1">
      <c r="B69" s="80"/>
    </row>
    <row r="70" spans="1:11" s="69" customFormat="1" ht="15">
      <c r="A70" s="81" t="s">
        <v>125</v>
      </c>
      <c r="B70" s="69" t="s">
        <v>212</v>
      </c>
      <c r="C70" s="82"/>
      <c r="D70" s="82"/>
      <c r="E70" s="82"/>
      <c r="F70" s="82"/>
      <c r="G70" s="82"/>
      <c r="H70" s="82"/>
      <c r="I70" s="82"/>
      <c r="J70" s="82"/>
      <c r="K70" s="82"/>
    </row>
    <row r="71" spans="2:11" s="69" customFormat="1" ht="15">
      <c r="B71" s="69" t="s">
        <v>256</v>
      </c>
      <c r="C71" s="82"/>
      <c r="D71" s="82"/>
      <c r="E71" s="82"/>
      <c r="F71" s="82"/>
      <c r="G71" s="82"/>
      <c r="H71" s="82"/>
      <c r="I71" s="82"/>
      <c r="J71" s="82"/>
      <c r="K71" s="82"/>
    </row>
    <row r="72" spans="2:11" s="69" customFormat="1" ht="15">
      <c r="B72" s="75"/>
      <c r="C72" s="82"/>
      <c r="D72" s="82"/>
      <c r="E72" s="82"/>
      <c r="F72" s="82"/>
      <c r="G72" s="82"/>
      <c r="H72" s="82"/>
      <c r="I72" s="82"/>
      <c r="J72" s="82"/>
      <c r="K72" s="82"/>
    </row>
    <row r="73" spans="1:9" s="69" customFormat="1" ht="15">
      <c r="A73" s="81" t="s">
        <v>126</v>
      </c>
      <c r="B73" s="69" t="s">
        <v>128</v>
      </c>
      <c r="C73" s="83"/>
      <c r="D73" s="83"/>
      <c r="E73" s="83"/>
      <c r="F73" s="83"/>
      <c r="G73" s="83"/>
      <c r="H73" s="83"/>
      <c r="I73" s="83"/>
    </row>
    <row r="74" spans="2:9" s="69" customFormat="1" ht="15">
      <c r="B74" s="84" t="s">
        <v>237</v>
      </c>
      <c r="C74" s="83"/>
      <c r="D74" s="83"/>
      <c r="E74" s="83"/>
      <c r="F74" s="83"/>
      <c r="G74" s="83"/>
      <c r="H74" s="83"/>
      <c r="I74" s="83"/>
    </row>
    <row r="75" spans="2:9" ht="12.75">
      <c r="B75" s="38"/>
      <c r="C75" s="11"/>
      <c r="D75" s="38"/>
      <c r="E75" s="38"/>
      <c r="F75" s="38"/>
      <c r="G75" s="38"/>
      <c r="H75" s="38"/>
      <c r="I75" s="38"/>
    </row>
    <row r="79" ht="12.75">
      <c r="C79" s="129"/>
    </row>
  </sheetData>
  <sheetProtection/>
  <mergeCells count="2">
    <mergeCell ref="B1:H1"/>
    <mergeCell ref="B67:B68"/>
  </mergeCells>
  <printOptions gridLines="1"/>
  <pageMargins left="0.36" right="0.17" top="0.3" bottom="0.2" header="0.22" footer="0.1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8"/>
  <sheetViews>
    <sheetView zoomScalePageLayoutView="0" workbookViewId="0" topLeftCell="C7">
      <selection activeCell="I23" sqref="I23"/>
    </sheetView>
  </sheetViews>
  <sheetFormatPr defaultColWidth="9.140625" defaultRowHeight="12.75"/>
  <cols>
    <col min="1" max="1" width="3.140625" style="90" customWidth="1"/>
    <col min="2" max="2" width="43.57421875" style="90" customWidth="1"/>
    <col min="3" max="8" width="18.7109375" style="90" customWidth="1"/>
    <col min="9" max="9" width="22.7109375" style="90" customWidth="1"/>
    <col min="10" max="10" width="18.7109375" style="90" customWidth="1"/>
    <col min="11" max="16384" width="9.140625" style="90" customWidth="1"/>
  </cols>
  <sheetData>
    <row r="1" ht="20.25">
      <c r="B1" s="89" t="str">
        <f>+'Income statement'!B1</f>
        <v>HANDAL RESOURCES  BERHAD (816839-X)</v>
      </c>
    </row>
    <row r="2" ht="15" customHeight="1"/>
    <row r="3" s="92" customFormat="1" ht="15">
      <c r="B3" s="91" t="s">
        <v>86</v>
      </c>
    </row>
    <row r="4" s="92" customFormat="1" ht="15" customHeight="1">
      <c r="B4" s="16" t="s">
        <v>277</v>
      </c>
    </row>
    <row r="5" s="92" customFormat="1" ht="15">
      <c r="B5" s="91"/>
    </row>
    <row r="6" s="92" customFormat="1" ht="15.75" thickBot="1">
      <c r="B6" s="91"/>
    </row>
    <row r="7" spans="3:10" s="92" customFormat="1" ht="20.25" customHeight="1" thickBot="1">
      <c r="C7" s="256" t="s">
        <v>121</v>
      </c>
      <c r="D7" s="257"/>
      <c r="E7" s="257"/>
      <c r="F7" s="257"/>
      <c r="G7" s="257"/>
      <c r="H7" s="257"/>
      <c r="I7" s="257"/>
      <c r="J7" s="258"/>
    </row>
    <row r="8" s="92" customFormat="1" ht="12.75" customHeight="1" hidden="1"/>
    <row r="9" s="92" customFormat="1" ht="12.75" customHeight="1" hidden="1"/>
    <row r="10" spans="3:10" s="92" customFormat="1" ht="15" customHeight="1">
      <c r="C10" s="93"/>
      <c r="D10" s="93"/>
      <c r="E10" s="93"/>
      <c r="F10" s="93"/>
      <c r="G10" s="93"/>
      <c r="H10" s="93"/>
      <c r="I10" s="88"/>
      <c r="J10" s="93"/>
    </row>
    <row r="11" spans="3:10" s="92" customFormat="1" ht="15" customHeight="1">
      <c r="C11" s="93"/>
      <c r="D11" s="93"/>
      <c r="E11" s="93"/>
      <c r="F11" s="93"/>
      <c r="G11" s="93"/>
      <c r="H11" s="93"/>
      <c r="I11" s="100"/>
      <c r="J11" s="100"/>
    </row>
    <row r="12" spans="3:10" s="92" customFormat="1" ht="15" customHeight="1">
      <c r="C12" s="93" t="s">
        <v>5</v>
      </c>
      <c r="D12" s="93" t="s">
        <v>248</v>
      </c>
      <c r="E12" s="93" t="s">
        <v>10</v>
      </c>
      <c r="F12" s="93" t="s">
        <v>243</v>
      </c>
      <c r="G12" s="101" t="s">
        <v>11</v>
      </c>
      <c r="H12" s="93" t="s">
        <v>148</v>
      </c>
      <c r="I12" s="101" t="s">
        <v>210</v>
      </c>
      <c r="J12" s="101" t="s">
        <v>62</v>
      </c>
    </row>
    <row r="13" spans="3:10" s="92" customFormat="1" ht="15" customHeight="1">
      <c r="C13" s="93"/>
      <c r="D13" s="93"/>
      <c r="E13" s="93"/>
      <c r="F13" s="93"/>
      <c r="G13" s="100"/>
      <c r="H13" s="93"/>
      <c r="I13" s="100"/>
      <c r="J13" s="100"/>
    </row>
    <row r="14" spans="3:10" s="92" customFormat="1" ht="15" customHeight="1">
      <c r="C14" s="93" t="s">
        <v>0</v>
      </c>
      <c r="D14" s="93" t="s">
        <v>0</v>
      </c>
      <c r="E14" s="93" t="s">
        <v>0</v>
      </c>
      <c r="F14" s="93" t="s">
        <v>0</v>
      </c>
      <c r="G14" s="93" t="s">
        <v>0</v>
      </c>
      <c r="H14" s="93" t="s">
        <v>0</v>
      </c>
      <c r="I14" s="93" t="s">
        <v>0</v>
      </c>
      <c r="J14" s="93" t="s">
        <v>3</v>
      </c>
    </row>
    <row r="15" spans="3:10" s="92" customFormat="1" ht="15" customHeight="1">
      <c r="C15" s="93"/>
      <c r="D15" s="93"/>
      <c r="E15" s="93"/>
      <c r="F15" s="93"/>
      <c r="G15" s="93"/>
      <c r="H15" s="93"/>
      <c r="I15" s="93"/>
      <c r="J15" s="93"/>
    </row>
    <row r="16" spans="2:10" s="92" customFormat="1" ht="15" customHeight="1">
      <c r="B16" s="91" t="s">
        <v>258</v>
      </c>
      <c r="C16" s="110">
        <f>80000000/1000</f>
        <v>80000</v>
      </c>
      <c r="D16" s="110">
        <f>-74370/1000</f>
        <v>-74.37</v>
      </c>
      <c r="E16" s="110">
        <v>0</v>
      </c>
      <c r="F16" s="110">
        <f>2660000/1000</f>
        <v>2660</v>
      </c>
      <c r="G16" s="110">
        <f>15986671/1000</f>
        <v>15986.671</v>
      </c>
      <c r="H16" s="110">
        <f>SUM(C16:G16)</f>
        <v>98572.301</v>
      </c>
      <c r="I16" s="110">
        <f>13504/1000-1</f>
        <v>12.504</v>
      </c>
      <c r="J16" s="110">
        <f>SUM(H16:I16)+1</f>
        <v>98585.80500000001</v>
      </c>
    </row>
    <row r="17" spans="2:10" s="92" customFormat="1" ht="15" customHeight="1">
      <c r="B17" s="91"/>
      <c r="C17" s="110"/>
      <c r="D17" s="110"/>
      <c r="E17" s="110"/>
      <c r="F17" s="110"/>
      <c r="G17" s="110"/>
      <c r="H17" s="110"/>
      <c r="I17" s="110"/>
      <c r="J17" s="110"/>
    </row>
    <row r="18" spans="2:10" s="92" customFormat="1" ht="15" customHeight="1">
      <c r="B18" s="20" t="s">
        <v>276</v>
      </c>
      <c r="C18" s="110">
        <v>0</v>
      </c>
      <c r="D18" s="210">
        <v>74</v>
      </c>
      <c r="E18" s="110">
        <v>0</v>
      </c>
      <c r="F18" s="110">
        <v>0</v>
      </c>
      <c r="G18" s="110">
        <v>0</v>
      </c>
      <c r="H18" s="110">
        <f>SUM(C18:G18)</f>
        <v>74</v>
      </c>
      <c r="I18" s="110">
        <v>0</v>
      </c>
      <c r="J18" s="110">
        <f>SUM(H18:I18)</f>
        <v>74</v>
      </c>
    </row>
    <row r="19" spans="3:10" s="92" customFormat="1" ht="15" customHeight="1">
      <c r="C19" s="110"/>
      <c r="D19" s="110"/>
      <c r="E19" s="110"/>
      <c r="F19" s="110"/>
      <c r="G19" s="110"/>
      <c r="H19" s="110"/>
      <c r="I19" s="110"/>
      <c r="J19" s="110"/>
    </row>
    <row r="20" spans="2:10" s="92" customFormat="1" ht="15" customHeight="1">
      <c r="B20" s="92" t="s">
        <v>10</v>
      </c>
      <c r="C20" s="110">
        <v>0</v>
      </c>
      <c r="D20" s="110">
        <v>0</v>
      </c>
      <c r="E20" s="110">
        <v>29</v>
      </c>
      <c r="F20" s="110">
        <v>0</v>
      </c>
      <c r="G20" s="110">
        <v>0</v>
      </c>
      <c r="H20" s="110">
        <f>SUM(C20:G20)</f>
        <v>29</v>
      </c>
      <c r="I20" s="110">
        <v>0</v>
      </c>
      <c r="J20" s="110">
        <f>SUM(H20:I20)</f>
        <v>29</v>
      </c>
    </row>
    <row r="21" spans="3:10" s="92" customFormat="1" ht="15" customHeight="1">
      <c r="C21" s="110"/>
      <c r="D21" s="110"/>
      <c r="E21" s="110"/>
      <c r="F21" s="110"/>
      <c r="G21" s="110"/>
      <c r="H21" s="110"/>
      <c r="I21" s="110"/>
      <c r="J21" s="110"/>
    </row>
    <row r="22" spans="2:10" s="92" customFormat="1" ht="15" customHeight="1">
      <c r="B22" s="92" t="s">
        <v>232</v>
      </c>
      <c r="C22" s="110">
        <v>0</v>
      </c>
      <c r="D22" s="110">
        <v>0</v>
      </c>
      <c r="E22" s="210">
        <v>0</v>
      </c>
      <c r="F22" s="210">
        <v>0</v>
      </c>
      <c r="G22" s="210">
        <v>2045</v>
      </c>
      <c r="H22" s="110">
        <f>SUM(C22:G22)</f>
        <v>2045</v>
      </c>
      <c r="I22" s="210">
        <f>-34+26</f>
        <v>-8</v>
      </c>
      <c r="J22" s="210">
        <f>SUM(H22:I22)</f>
        <v>2037</v>
      </c>
    </row>
    <row r="23" spans="3:10" s="92" customFormat="1" ht="15" customHeight="1">
      <c r="C23" s="94"/>
      <c r="D23" s="94"/>
      <c r="E23" s="207"/>
      <c r="F23" s="207"/>
      <c r="G23" s="207"/>
      <c r="H23" s="207"/>
      <c r="I23" s="207"/>
      <c r="J23" s="207"/>
    </row>
    <row r="24" spans="2:11" s="92" customFormat="1" ht="15" customHeight="1" thickBot="1">
      <c r="B24" s="91" t="s">
        <v>280</v>
      </c>
      <c r="C24" s="95">
        <f>SUM(C16:C23)</f>
        <v>80000</v>
      </c>
      <c r="D24" s="95">
        <f>SUM(D16:D23)</f>
        <v>-0.37000000000000455</v>
      </c>
      <c r="E24" s="208">
        <f>SUM(E16:E23)</f>
        <v>29</v>
      </c>
      <c r="F24" s="95">
        <f>SUM(F16:F23)</f>
        <v>2660</v>
      </c>
      <c r="G24" s="208">
        <f>SUM(G16:G23)</f>
        <v>18031.671000000002</v>
      </c>
      <c r="H24" s="208">
        <f>SUM(H16:H23)+1</f>
        <v>100721.301</v>
      </c>
      <c r="I24" s="208">
        <f>SUM(I16:I23)</f>
        <v>4.504</v>
      </c>
      <c r="J24" s="208">
        <f>SUM(J16:J23)</f>
        <v>100725.80500000001</v>
      </c>
      <c r="K24" s="96"/>
    </row>
    <row r="25" spans="3:10" s="92" customFormat="1" ht="15" customHeight="1" thickTop="1">
      <c r="C25" s="97"/>
      <c r="D25" s="97"/>
      <c r="E25" s="209"/>
      <c r="F25" s="209"/>
      <c r="G25" s="209"/>
      <c r="H25" s="209"/>
      <c r="I25" s="209"/>
      <c r="J25" s="209"/>
    </row>
    <row r="26" spans="3:16" s="92" customFormat="1" ht="15" customHeight="1">
      <c r="C26" s="97"/>
      <c r="D26" s="97"/>
      <c r="E26" s="97"/>
      <c r="F26" s="97"/>
      <c r="G26" s="97"/>
      <c r="H26" s="97"/>
      <c r="I26" s="97"/>
      <c r="J26" s="96"/>
      <c r="P26" s="97"/>
    </row>
    <row r="27" spans="2:16" s="92" customFormat="1" ht="15" customHeight="1" hidden="1">
      <c r="B27" s="92" t="s">
        <v>118</v>
      </c>
      <c r="C27" s="97"/>
      <c r="D27" s="97"/>
      <c r="E27" s="97"/>
      <c r="F27" s="97"/>
      <c r="G27" s="97"/>
      <c r="H27" s="97"/>
      <c r="I27" s="97"/>
      <c r="K27" s="98"/>
      <c r="M27" s="98"/>
      <c r="O27" s="98"/>
      <c r="P27" s="97"/>
    </row>
    <row r="28" spans="2:15" s="92" customFormat="1" ht="15" customHeight="1" hidden="1">
      <c r="B28" s="98"/>
      <c r="C28" s="97"/>
      <c r="D28" s="97"/>
      <c r="E28" s="97"/>
      <c r="F28" s="97"/>
      <c r="G28" s="97"/>
      <c r="H28" s="97"/>
      <c r="I28" s="97"/>
      <c r="J28" s="97"/>
      <c r="K28" s="98"/>
      <c r="M28" s="98"/>
      <c r="N28" s="98"/>
      <c r="O28" s="98"/>
    </row>
    <row r="29" spans="2:12" ht="14.25" hidden="1">
      <c r="B29" s="99"/>
      <c r="C29" s="99"/>
      <c r="D29" s="99"/>
      <c r="E29" s="99"/>
      <c r="F29" s="99"/>
      <c r="G29" s="99"/>
      <c r="H29" s="99"/>
      <c r="I29" s="99"/>
      <c r="L29" s="92"/>
    </row>
    <row r="30" spans="2:12" ht="14.25" hidden="1">
      <c r="B30" s="126" t="s">
        <v>144</v>
      </c>
      <c r="C30" s="99"/>
      <c r="D30" s="99"/>
      <c r="E30" s="99"/>
      <c r="F30" s="99"/>
      <c r="G30" s="99"/>
      <c r="H30" s="99"/>
      <c r="I30" s="99"/>
      <c r="L30" s="92"/>
    </row>
    <row r="31" spans="2:12" ht="14.25" hidden="1">
      <c r="B31" s="124" t="s">
        <v>147</v>
      </c>
      <c r="C31" s="125"/>
      <c r="D31" s="125"/>
      <c r="E31" s="125"/>
      <c r="F31" s="125"/>
      <c r="G31" s="125"/>
      <c r="H31" s="125"/>
      <c r="I31" s="125"/>
      <c r="L31" s="92"/>
    </row>
    <row r="32" spans="2:9" ht="14.25" hidden="1">
      <c r="B32" s="92" t="s">
        <v>145</v>
      </c>
      <c r="C32" s="92"/>
      <c r="D32" s="92"/>
      <c r="E32" s="92"/>
      <c r="F32" s="92"/>
      <c r="G32" s="92"/>
      <c r="H32" s="92"/>
      <c r="I32" s="92"/>
    </row>
    <row r="33" spans="2:9" ht="14.25">
      <c r="B33" s="92"/>
      <c r="C33" s="92"/>
      <c r="D33" s="92"/>
      <c r="E33" s="92"/>
      <c r="F33" s="92"/>
      <c r="G33" s="92"/>
      <c r="H33" s="92"/>
      <c r="I33" s="92"/>
    </row>
    <row r="34" spans="2:9" ht="14.25">
      <c r="B34" s="92" t="s">
        <v>219</v>
      </c>
      <c r="C34" s="92"/>
      <c r="D34" s="92"/>
      <c r="E34" s="92"/>
      <c r="F34" s="92"/>
      <c r="G34" s="92"/>
      <c r="H34" s="92"/>
      <c r="I34" s="92"/>
    </row>
    <row r="35" spans="2:9" ht="14.25">
      <c r="B35" s="92" t="s">
        <v>256</v>
      </c>
      <c r="C35" s="92"/>
      <c r="D35" s="92"/>
      <c r="E35" s="92"/>
      <c r="F35" s="92"/>
      <c r="G35" s="92"/>
      <c r="H35" s="92"/>
      <c r="I35" s="92"/>
    </row>
    <row r="36" ht="14.25">
      <c r="B36" s="98" t="s">
        <v>99</v>
      </c>
    </row>
    <row r="37" ht="14.25">
      <c r="B37" s="92" t="s">
        <v>264</v>
      </c>
    </row>
    <row r="38" ht="14.25">
      <c r="B38" s="92" t="s">
        <v>263</v>
      </c>
    </row>
  </sheetData>
  <sheetProtection/>
  <mergeCells count="1">
    <mergeCell ref="C7:J7"/>
  </mergeCells>
  <printOptions gridLines="1"/>
  <pageMargins left="0.24" right="0.17" top="0.58" bottom="0.17" header="0.29" footer="0.1"/>
  <pageSetup fitToHeight="1" fitToWidth="1" horizontalDpi="600" verticalDpi="600" orientation="portrait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zoomScalePageLayoutView="0" workbookViewId="0" topLeftCell="A59">
      <selection activeCell="C78" sqref="C78"/>
    </sheetView>
  </sheetViews>
  <sheetFormatPr defaultColWidth="9.140625" defaultRowHeight="12.75"/>
  <cols>
    <col min="1" max="1" width="55.00390625" style="0" customWidth="1"/>
    <col min="2" max="2" width="5.7109375" style="0" customWidth="1"/>
    <col min="3" max="3" width="6.8515625" style="0" customWidth="1"/>
    <col min="4" max="4" width="16.8515625" style="0" customWidth="1"/>
    <col min="5" max="5" width="3.8515625" style="0" customWidth="1"/>
    <col min="6" max="6" width="17.7109375" style="0" customWidth="1"/>
    <col min="9" max="9" width="13.421875" style="0" customWidth="1"/>
  </cols>
  <sheetData>
    <row r="1" ht="20.25">
      <c r="A1" s="6" t="str">
        <f>+'Income statement'!B1</f>
        <v>HANDAL RESOURCES  BERHAD (816839-X)</v>
      </c>
    </row>
    <row r="3" spans="1:6" ht="12.75">
      <c r="A3" s="2" t="s">
        <v>87</v>
      </c>
      <c r="B3" s="12"/>
      <c r="C3" s="12"/>
      <c r="D3" s="12"/>
      <c r="E3" s="12"/>
      <c r="F3" s="12"/>
    </row>
    <row r="4" spans="1:6" ht="15" customHeight="1">
      <c r="A4" s="2" t="s">
        <v>84</v>
      </c>
      <c r="B4" s="12"/>
      <c r="C4" s="12"/>
      <c r="D4" s="39"/>
      <c r="E4" s="39"/>
      <c r="F4" s="39"/>
    </row>
    <row r="5" spans="1:6" ht="15" customHeight="1">
      <c r="A5" s="2"/>
      <c r="B5" s="12"/>
      <c r="C5" s="12"/>
      <c r="D5" s="2"/>
      <c r="E5" s="12"/>
      <c r="F5" s="5" t="s">
        <v>25</v>
      </c>
    </row>
    <row r="6" spans="1:6" ht="15" customHeight="1">
      <c r="A6" s="2"/>
      <c r="B6" s="12"/>
      <c r="C6" s="12"/>
      <c r="D6" s="5" t="s">
        <v>13</v>
      </c>
      <c r="E6" s="12"/>
      <c r="F6" s="5" t="s">
        <v>26</v>
      </c>
    </row>
    <row r="7" spans="1:6" ht="15" customHeight="1">
      <c r="A7" s="2"/>
      <c r="B7" s="12"/>
      <c r="C7" s="12"/>
      <c r="D7" s="5" t="s">
        <v>12</v>
      </c>
      <c r="E7" s="12"/>
      <c r="F7" s="5" t="s">
        <v>98</v>
      </c>
    </row>
    <row r="8" spans="1:6" ht="15" customHeight="1">
      <c r="A8" s="2"/>
      <c r="B8" s="12"/>
      <c r="C8" s="12"/>
      <c r="D8" s="5" t="str">
        <f>'Income statement'!P13</f>
        <v>31 December 2013</v>
      </c>
      <c r="E8" s="12"/>
      <c r="F8" s="5" t="str">
        <f>'Income statement'!Q13</f>
        <v>31 December 2012</v>
      </c>
    </row>
    <row r="9" spans="1:6" ht="15" customHeight="1">
      <c r="A9" s="2"/>
      <c r="B9" s="12"/>
      <c r="C9" s="12"/>
      <c r="D9" s="5" t="s">
        <v>3</v>
      </c>
      <c r="E9" s="12"/>
      <c r="F9" s="5" t="s">
        <v>3</v>
      </c>
    </row>
    <row r="10" spans="1:6" ht="15" customHeight="1">
      <c r="A10" s="2"/>
      <c r="B10" s="12"/>
      <c r="C10" s="12"/>
      <c r="D10" s="16"/>
      <c r="E10" s="16"/>
      <c r="F10" s="17"/>
    </row>
    <row r="11" spans="1:6" ht="15" customHeight="1">
      <c r="A11" s="18"/>
      <c r="B11" s="19"/>
      <c r="C11" s="17"/>
      <c r="D11" s="17"/>
      <c r="E11" s="17"/>
      <c r="F11" s="17"/>
    </row>
    <row r="12" spans="1:6" ht="12.75" customHeight="1">
      <c r="A12" s="15" t="s">
        <v>63</v>
      </c>
      <c r="B12" s="15"/>
      <c r="C12" s="15"/>
      <c r="D12" s="15"/>
      <c r="E12" s="15"/>
      <c r="F12" s="19"/>
    </row>
    <row r="13" spans="1:6" ht="14.25">
      <c r="A13" s="20" t="s">
        <v>2</v>
      </c>
      <c r="B13" s="19"/>
      <c r="C13" s="19"/>
      <c r="D13" s="21">
        <f>'[1]cashflow.'!$D$8</f>
        <v>3491.3136340504434</v>
      </c>
      <c r="E13" s="21"/>
      <c r="F13" s="29" t="s">
        <v>24</v>
      </c>
    </row>
    <row r="14" spans="1:6" ht="14.25">
      <c r="A14" s="20"/>
      <c r="B14" s="19"/>
      <c r="C14" s="19"/>
      <c r="D14" s="21"/>
      <c r="E14" s="21"/>
      <c r="F14" s="29"/>
    </row>
    <row r="15" spans="1:6" ht="15">
      <c r="A15" s="15" t="s">
        <v>7</v>
      </c>
      <c r="B15" s="19"/>
      <c r="C15" s="19"/>
      <c r="D15" s="21"/>
      <c r="E15" s="21"/>
      <c r="F15" s="29"/>
    </row>
    <row r="16" spans="1:6" ht="14.25" customHeight="1">
      <c r="A16" s="40" t="s">
        <v>65</v>
      </c>
      <c r="B16" s="19"/>
      <c r="C16" s="19"/>
      <c r="D16" s="21">
        <f>'[1]cashflow.'!D12</f>
        <v>363.5</v>
      </c>
      <c r="E16" s="21"/>
      <c r="F16" s="29" t="s">
        <v>24</v>
      </c>
    </row>
    <row r="17" spans="1:6" ht="14.25">
      <c r="A17" s="40" t="s">
        <v>64</v>
      </c>
      <c r="B17" s="19"/>
      <c r="C17" s="19"/>
      <c r="D17" s="21">
        <f>'[1]cashflow.'!D13</f>
        <v>265</v>
      </c>
      <c r="E17" s="21"/>
      <c r="F17" s="29" t="s">
        <v>24</v>
      </c>
    </row>
    <row r="18" spans="1:6" ht="14.25">
      <c r="A18" s="40" t="s">
        <v>66</v>
      </c>
      <c r="B18" s="19"/>
      <c r="C18" s="19"/>
      <c r="D18" s="21">
        <f>'[1]cashflow.'!D14</f>
        <v>7.4</v>
      </c>
      <c r="E18" s="21"/>
      <c r="F18" s="29" t="s">
        <v>24</v>
      </c>
    </row>
    <row r="19" spans="1:6" ht="15.75" customHeight="1">
      <c r="A19" s="40" t="s">
        <v>68</v>
      </c>
      <c r="B19" s="19"/>
      <c r="C19" s="19"/>
      <c r="D19" s="21">
        <f>'[1]cashflow.'!D15</f>
        <v>0</v>
      </c>
      <c r="E19" s="21"/>
      <c r="F19" s="29" t="s">
        <v>24</v>
      </c>
    </row>
    <row r="20" spans="1:6" ht="14.25">
      <c r="A20" s="40" t="s">
        <v>67</v>
      </c>
      <c r="B20" s="19"/>
      <c r="C20" s="19"/>
      <c r="D20" s="21">
        <f>'[1]cashflow.'!D16</f>
        <v>-97</v>
      </c>
      <c r="E20" s="21"/>
      <c r="F20" s="29" t="s">
        <v>24</v>
      </c>
    </row>
    <row r="21" spans="1:6" ht="15" customHeight="1" thickBot="1">
      <c r="A21" s="40" t="s">
        <v>102</v>
      </c>
      <c r="B21" s="20"/>
      <c r="C21" s="19"/>
      <c r="D21" s="21">
        <f>'[1]cashflow.'!D17</f>
        <v>-1123.228034050444</v>
      </c>
      <c r="E21" s="28"/>
      <c r="F21" s="30" t="s">
        <v>24</v>
      </c>
    </row>
    <row r="22" spans="1:6" ht="14.25">
      <c r="A22" s="20"/>
      <c r="B22" s="19"/>
      <c r="C22" s="19"/>
      <c r="D22" s="23"/>
      <c r="E22" s="28"/>
      <c r="F22" s="29"/>
    </row>
    <row r="23" spans="1:6" ht="15.75" customHeight="1">
      <c r="A23" s="15" t="s">
        <v>8</v>
      </c>
      <c r="B23" s="19"/>
      <c r="C23" s="19"/>
      <c r="D23" s="49">
        <f>SUM(D13:D21)</f>
        <v>2906.985599999999</v>
      </c>
      <c r="E23" s="21"/>
      <c r="F23" s="29" t="s">
        <v>24</v>
      </c>
    </row>
    <row r="24" spans="1:11" ht="14.25">
      <c r="A24" s="24"/>
      <c r="B24" s="24"/>
      <c r="C24" s="24"/>
      <c r="D24" s="21"/>
      <c r="E24" s="21"/>
      <c r="F24" s="29"/>
      <c r="G24" s="19"/>
      <c r="H24" s="19"/>
      <c r="I24" s="19"/>
      <c r="J24" s="19"/>
      <c r="K24" s="19"/>
    </row>
    <row r="25" spans="1:8" ht="14.25" customHeight="1" hidden="1">
      <c r="A25" s="41" t="s">
        <v>88</v>
      </c>
      <c r="B25" s="24"/>
      <c r="C25" s="24"/>
      <c r="D25" s="21">
        <f>'[1]cashflow.'!D22</f>
        <v>0</v>
      </c>
      <c r="E25" s="21"/>
      <c r="F25" s="29" t="s">
        <v>24</v>
      </c>
      <c r="G25" s="19"/>
      <c r="H25" s="19"/>
    </row>
    <row r="26" spans="1:8" ht="14.25" customHeight="1">
      <c r="A26" s="41" t="s">
        <v>89</v>
      </c>
      <c r="B26" s="24"/>
      <c r="C26" s="24"/>
      <c r="D26" s="21">
        <f>'[1]cashflow.'!D23</f>
        <v>-867.4733900000028</v>
      </c>
      <c r="E26" s="21"/>
      <c r="F26" s="29" t="s">
        <v>24</v>
      </c>
      <c r="G26" s="19"/>
      <c r="H26" s="19"/>
    </row>
    <row r="27" spans="1:8" ht="14.25" customHeight="1">
      <c r="A27" s="41" t="s">
        <v>103</v>
      </c>
      <c r="B27" s="24"/>
      <c r="C27" s="24"/>
      <c r="D27" s="21">
        <f>'[1]cashflow.'!D24</f>
        <v>78.74748</v>
      </c>
      <c r="E27" s="21"/>
      <c r="F27" s="29" t="s">
        <v>24</v>
      </c>
      <c r="G27" s="19"/>
      <c r="H27" s="19"/>
    </row>
    <row r="28" spans="1:8" ht="14.25" customHeight="1">
      <c r="A28" s="41" t="s">
        <v>104</v>
      </c>
      <c r="B28" s="20"/>
      <c r="C28" s="20"/>
      <c r="D28" s="21">
        <f>'[1]cashflow.'!D25</f>
        <v>669.1108099999999</v>
      </c>
      <c r="E28" s="21"/>
      <c r="F28" s="29" t="s">
        <v>24</v>
      </c>
      <c r="G28" s="19"/>
      <c r="H28" s="19"/>
    </row>
    <row r="29" spans="1:8" ht="14.25" customHeight="1">
      <c r="A29" s="41" t="s">
        <v>69</v>
      </c>
      <c r="B29" s="20"/>
      <c r="C29" s="20"/>
      <c r="D29" s="21">
        <f>'[1]cashflow.'!D26</f>
        <v>1842.1404200000015</v>
      </c>
      <c r="E29" s="21"/>
      <c r="F29" s="29" t="s">
        <v>24</v>
      </c>
      <c r="G29" s="19"/>
      <c r="H29" s="19"/>
    </row>
    <row r="30" spans="1:8" ht="15" thickBot="1">
      <c r="A30" s="40" t="s">
        <v>97</v>
      </c>
      <c r="B30" s="20"/>
      <c r="C30" s="20"/>
      <c r="D30" s="22">
        <f>'[1]cashflow.'!D27</f>
        <v>-2514.1371799999997</v>
      </c>
      <c r="E30" s="28"/>
      <c r="F30" s="30" t="s">
        <v>24</v>
      </c>
      <c r="G30" s="19"/>
      <c r="H30" s="19"/>
    </row>
    <row r="31" spans="1:8" ht="14.25">
      <c r="A31" s="24"/>
      <c r="B31" s="24"/>
      <c r="C31" s="24"/>
      <c r="D31" s="21"/>
      <c r="E31" s="21"/>
      <c r="F31" s="29"/>
      <c r="G31" s="19"/>
      <c r="H31" s="19"/>
    </row>
    <row r="32" spans="1:8" ht="14.25" customHeight="1">
      <c r="A32" s="15" t="s">
        <v>105</v>
      </c>
      <c r="B32" s="20"/>
      <c r="C32" s="20"/>
      <c r="D32" s="49">
        <f>SUM(D23:D30)</f>
        <v>2115.373739999998</v>
      </c>
      <c r="E32" s="21"/>
      <c r="F32" s="29">
        <f>SUM(F23:F30)</f>
        <v>0</v>
      </c>
      <c r="G32" s="19"/>
      <c r="H32" s="19"/>
    </row>
    <row r="33" spans="1:8" ht="14.25">
      <c r="A33" s="24"/>
      <c r="B33" s="24"/>
      <c r="C33" s="24"/>
      <c r="D33" s="21"/>
      <c r="E33" s="21"/>
      <c r="F33" s="29"/>
      <c r="G33" s="19"/>
      <c r="H33" s="19"/>
    </row>
    <row r="34" spans="1:8" ht="14.25" customHeight="1">
      <c r="A34" s="18" t="s">
        <v>9</v>
      </c>
      <c r="B34" s="18"/>
      <c r="C34" s="18"/>
      <c r="D34" s="21">
        <f>'[1]cashflow.'!D31</f>
        <v>-363.5</v>
      </c>
      <c r="E34" s="21"/>
      <c r="F34" s="29" t="s">
        <v>24</v>
      </c>
      <c r="G34" s="19"/>
      <c r="H34" s="19"/>
    </row>
    <row r="35" spans="1:8" ht="14.25">
      <c r="A35" s="18" t="s">
        <v>70</v>
      </c>
      <c r="B35" s="18"/>
      <c r="C35" s="18"/>
      <c r="D35" s="21">
        <f>'[1]cashflow.'!D32</f>
        <v>-552.8730440504394</v>
      </c>
      <c r="E35" s="28"/>
      <c r="F35" s="29" t="s">
        <v>24</v>
      </c>
      <c r="G35" s="19"/>
      <c r="H35" s="19"/>
    </row>
    <row r="36" spans="1:8" ht="15" thickBot="1">
      <c r="A36" s="18"/>
      <c r="B36" s="18"/>
      <c r="C36" s="18"/>
      <c r="D36" s="22"/>
      <c r="E36" s="21"/>
      <c r="F36" s="30"/>
      <c r="G36" s="19"/>
      <c r="H36" s="19"/>
    </row>
    <row r="37" spans="1:8" ht="15.75" thickBot="1">
      <c r="A37" s="25" t="s">
        <v>44</v>
      </c>
      <c r="B37" s="18"/>
      <c r="C37" s="18"/>
      <c r="D37" s="50">
        <f>SUM(D32:D35)</f>
        <v>1199.0006959495588</v>
      </c>
      <c r="E37" s="28"/>
      <c r="F37" s="30">
        <f>SUM(F32:F35)</f>
        <v>0</v>
      </c>
      <c r="G37" s="19"/>
      <c r="H37" s="19"/>
    </row>
    <row r="38" spans="1:8" ht="14.25">
      <c r="A38" s="18"/>
      <c r="B38" s="18"/>
      <c r="C38" s="18"/>
      <c r="D38" s="32"/>
      <c r="E38" s="32"/>
      <c r="F38" s="32"/>
      <c r="G38" s="19"/>
      <c r="H38" s="19"/>
    </row>
    <row r="39" spans="1:8" ht="14.25">
      <c r="A39" s="18"/>
      <c r="B39" s="19"/>
      <c r="C39" s="19"/>
      <c r="D39" s="21"/>
      <c r="E39" s="21"/>
      <c r="F39" s="29"/>
      <c r="G39" s="19"/>
      <c r="H39" s="19"/>
    </row>
    <row r="40" spans="1:8" ht="15" customHeight="1">
      <c r="A40" s="25" t="s">
        <v>71</v>
      </c>
      <c r="B40" s="25"/>
      <c r="C40" s="25"/>
      <c r="D40" s="21"/>
      <c r="E40" s="21"/>
      <c r="F40" s="29"/>
      <c r="G40" s="25"/>
      <c r="H40" s="19"/>
    </row>
    <row r="41" spans="1:8" ht="15" customHeight="1">
      <c r="A41" s="18" t="s">
        <v>106</v>
      </c>
      <c r="B41" s="25"/>
      <c r="C41" s="25"/>
      <c r="D41" s="21">
        <f>'[1]cashflow.'!$D$37</f>
        <v>15849.791570000001</v>
      </c>
      <c r="E41" s="21"/>
      <c r="F41" s="29" t="s">
        <v>24</v>
      </c>
      <c r="G41" s="25"/>
      <c r="H41" s="19"/>
    </row>
    <row r="42" spans="1:8" ht="14.25">
      <c r="A42" s="42" t="s">
        <v>72</v>
      </c>
      <c r="B42" s="18"/>
      <c r="C42" s="18"/>
      <c r="D42" s="21">
        <f>'[1]cashflow.'!D38</f>
        <v>97</v>
      </c>
      <c r="E42" s="21"/>
      <c r="F42" s="29" t="s">
        <v>24</v>
      </c>
      <c r="G42" s="19"/>
      <c r="H42" s="19"/>
    </row>
    <row r="43" spans="1:8" ht="14.25">
      <c r="A43" s="42" t="s">
        <v>90</v>
      </c>
      <c r="B43" s="19"/>
      <c r="C43" s="19"/>
      <c r="D43" s="21">
        <f>'[1]cashflow.'!D39</f>
        <v>0</v>
      </c>
      <c r="E43" s="21"/>
      <c r="F43" s="29" t="s">
        <v>24</v>
      </c>
      <c r="G43" s="19"/>
      <c r="H43" s="19"/>
    </row>
    <row r="44" spans="1:8" ht="14.25">
      <c r="A44" s="42" t="s">
        <v>73</v>
      </c>
      <c r="B44" s="19"/>
      <c r="C44" s="19"/>
      <c r="D44" s="21">
        <f>'[1]cashflow.'!D40</f>
        <v>-1047.900669999999</v>
      </c>
      <c r="E44" s="21"/>
      <c r="F44" s="29" t="s">
        <v>24</v>
      </c>
      <c r="G44" s="19"/>
      <c r="H44" s="19"/>
    </row>
    <row r="45" spans="1:8" ht="14.25">
      <c r="A45" s="42"/>
      <c r="B45" s="19"/>
      <c r="C45" s="19"/>
      <c r="D45" s="21"/>
      <c r="E45" s="28"/>
      <c r="F45" s="29"/>
      <c r="G45" s="19"/>
      <c r="H45" s="19"/>
    </row>
    <row r="46" spans="1:8" ht="14.25">
      <c r="A46" s="18"/>
      <c r="B46" s="19"/>
      <c r="C46" s="19"/>
      <c r="D46" s="28"/>
      <c r="E46" s="28"/>
      <c r="F46" s="31"/>
      <c r="G46" s="19"/>
      <c r="H46" s="19"/>
    </row>
    <row r="47" spans="1:9" ht="14.25">
      <c r="A47" s="18" t="s">
        <v>74</v>
      </c>
      <c r="B47" s="18"/>
      <c r="C47" s="18"/>
      <c r="D47" s="34">
        <f>SUM(D41:D46)</f>
        <v>14898.890900000002</v>
      </c>
      <c r="E47" s="28"/>
      <c r="F47" s="35" t="s">
        <v>24</v>
      </c>
      <c r="G47" s="18"/>
      <c r="H47" s="19"/>
      <c r="I47" s="52"/>
    </row>
    <row r="48" spans="1:8" ht="14.25">
      <c r="A48" s="24"/>
      <c r="B48" s="19"/>
      <c r="C48" s="19"/>
      <c r="D48" s="21"/>
      <c r="E48" s="21"/>
      <c r="F48" s="29"/>
      <c r="G48" s="19"/>
      <c r="H48" s="19"/>
    </row>
    <row r="49" spans="1:8" ht="15" customHeight="1">
      <c r="A49" s="25" t="s">
        <v>75</v>
      </c>
      <c r="B49" s="25"/>
      <c r="C49" s="25"/>
      <c r="D49" s="21"/>
      <c r="E49" s="21"/>
      <c r="F49" s="29"/>
      <c r="G49" s="18"/>
      <c r="H49" s="18"/>
    </row>
    <row r="50" spans="1:8" ht="14.25" customHeight="1">
      <c r="A50" s="41" t="s">
        <v>107</v>
      </c>
      <c r="B50" s="18"/>
      <c r="C50" s="18"/>
      <c r="D50" s="21">
        <f>'[1]cashflow.'!D46</f>
        <v>-978</v>
      </c>
      <c r="E50" s="21"/>
      <c r="F50" s="29" t="s">
        <v>24</v>
      </c>
      <c r="G50" s="19"/>
      <c r="H50" s="19"/>
    </row>
    <row r="51" spans="1:8" ht="14.25" customHeight="1">
      <c r="A51" s="43" t="s">
        <v>76</v>
      </c>
      <c r="B51" s="18"/>
      <c r="C51" s="18"/>
      <c r="D51" s="21">
        <f>'[1]cashflow.'!D47</f>
        <v>-2</v>
      </c>
      <c r="E51" s="21"/>
      <c r="F51" s="29" t="s">
        <v>24</v>
      </c>
      <c r="G51" s="19"/>
      <c r="H51" s="19"/>
    </row>
    <row r="52" spans="1:8" ht="14.25" customHeight="1">
      <c r="A52" s="43" t="s">
        <v>91</v>
      </c>
      <c r="B52" s="18"/>
      <c r="C52" s="18"/>
      <c r="D52" s="21">
        <f>'[1]cashflow.'!D48</f>
        <v>-4.5</v>
      </c>
      <c r="E52" s="21"/>
      <c r="F52" s="29" t="s">
        <v>24</v>
      </c>
      <c r="G52" s="19"/>
      <c r="H52" s="19"/>
    </row>
    <row r="53" spans="1:8" ht="14.25" customHeight="1">
      <c r="A53" s="43" t="s">
        <v>77</v>
      </c>
      <c r="B53" s="18"/>
      <c r="C53" s="18"/>
      <c r="D53" s="21">
        <f>'[1]cashflow.'!D49</f>
        <v>-13.609679999999997</v>
      </c>
      <c r="E53" s="21"/>
      <c r="F53" s="29" t="s">
        <v>24</v>
      </c>
      <c r="G53" s="19"/>
      <c r="H53" s="19"/>
    </row>
    <row r="54" spans="1:8" ht="14.25" customHeight="1">
      <c r="A54" s="44" t="s">
        <v>92</v>
      </c>
      <c r="B54" s="18"/>
      <c r="C54" s="18"/>
      <c r="D54" s="21">
        <f>'[1]cashflow.'!D50</f>
        <v>-36</v>
      </c>
      <c r="E54" s="21"/>
      <c r="F54" s="29" t="s">
        <v>24</v>
      </c>
      <c r="G54" s="19"/>
      <c r="H54" s="19"/>
    </row>
    <row r="55" spans="1:8" ht="14.25" customHeight="1">
      <c r="A55" s="44"/>
      <c r="B55" s="18"/>
      <c r="C55" s="18"/>
      <c r="D55" s="21"/>
      <c r="E55" s="21"/>
      <c r="F55" s="29"/>
      <c r="G55" s="19"/>
      <c r="H55" s="19"/>
    </row>
    <row r="56" spans="1:8" ht="14.25" customHeight="1">
      <c r="A56" s="44" t="s">
        <v>108</v>
      </c>
      <c r="B56" s="18"/>
      <c r="C56" s="18"/>
      <c r="D56" s="21">
        <f>'[1]cashflow.'!D52</f>
        <v>-637.5</v>
      </c>
      <c r="E56" s="28"/>
      <c r="F56" s="29" t="s">
        <v>24</v>
      </c>
      <c r="G56" s="19"/>
      <c r="H56" s="19"/>
    </row>
    <row r="57" spans="1:8" ht="14.25">
      <c r="A57" s="45"/>
      <c r="B57" s="18"/>
      <c r="C57" s="18"/>
      <c r="D57" s="21"/>
      <c r="E57" s="28"/>
      <c r="F57" s="29"/>
      <c r="G57" s="19"/>
      <c r="H57" s="19"/>
    </row>
    <row r="58" spans="1:8" ht="14.25">
      <c r="A58" s="18"/>
      <c r="B58" s="18"/>
      <c r="C58" s="18"/>
      <c r="D58" s="21"/>
      <c r="E58" s="28"/>
      <c r="F58" s="29"/>
      <c r="G58" s="19"/>
      <c r="H58" s="19"/>
    </row>
    <row r="59" spans="1:8" ht="18" customHeight="1" thickBot="1">
      <c r="A59" s="37" t="s">
        <v>109</v>
      </c>
      <c r="B59" s="20"/>
      <c r="C59" s="20"/>
      <c r="D59" s="26">
        <f>SUM(D50:D58)</f>
        <v>-1671.60968</v>
      </c>
      <c r="E59" s="28"/>
      <c r="F59" s="30" t="s">
        <v>24</v>
      </c>
      <c r="G59" s="19"/>
      <c r="H59" s="19"/>
    </row>
    <row r="60" spans="1:8" ht="14.25">
      <c r="A60" s="18"/>
      <c r="B60" s="18"/>
      <c r="C60" s="18"/>
      <c r="D60" s="32"/>
      <c r="E60" s="28"/>
      <c r="F60" s="32"/>
      <c r="G60" s="19"/>
      <c r="H60" s="19"/>
    </row>
    <row r="61" spans="1:8" ht="14.25">
      <c r="A61" s="18"/>
      <c r="B61" s="18"/>
      <c r="C61" s="18"/>
      <c r="D61" s="21"/>
      <c r="E61" s="28"/>
      <c r="F61" s="29"/>
      <c r="G61" s="19"/>
      <c r="H61" s="19"/>
    </row>
    <row r="62" spans="1:8" ht="14.25" customHeight="1">
      <c r="A62" s="25" t="s">
        <v>110</v>
      </c>
      <c r="B62" s="18"/>
      <c r="C62" s="18"/>
      <c r="D62" s="21">
        <f>D59+D47+D37</f>
        <v>14426.281915949561</v>
      </c>
      <c r="E62" s="28"/>
      <c r="F62" s="29" t="s">
        <v>24</v>
      </c>
      <c r="G62" s="18"/>
      <c r="H62" s="19"/>
    </row>
    <row r="63" spans="1:8" ht="14.25">
      <c r="A63" s="20"/>
      <c r="B63" s="19"/>
      <c r="C63" s="19"/>
      <c r="D63" s="21"/>
      <c r="E63" s="28"/>
      <c r="F63" s="29"/>
      <c r="G63" s="19"/>
      <c r="H63" s="19"/>
    </row>
    <row r="64" spans="1:8" ht="14.25" customHeight="1" thickBot="1">
      <c r="A64" s="259" t="s">
        <v>100</v>
      </c>
      <c r="B64" s="20"/>
      <c r="C64" s="20"/>
      <c r="D64" s="22">
        <f>'[1]cashflow.'!$D$58</f>
        <v>0.002</v>
      </c>
      <c r="E64" s="28"/>
      <c r="F64" s="30" t="s">
        <v>24</v>
      </c>
      <c r="G64" s="19"/>
      <c r="H64" s="19"/>
    </row>
    <row r="65" spans="1:8" ht="14.25">
      <c r="A65" s="259"/>
      <c r="B65" s="20"/>
      <c r="C65" s="20"/>
      <c r="D65" s="32"/>
      <c r="E65" s="28"/>
      <c r="F65" s="32"/>
      <c r="G65" s="19"/>
      <c r="H65" s="19"/>
    </row>
    <row r="66" spans="1:8" ht="15">
      <c r="A66" s="36"/>
      <c r="B66" s="20"/>
      <c r="C66" s="20"/>
      <c r="D66" s="32"/>
      <c r="E66" s="28"/>
      <c r="F66" s="32"/>
      <c r="G66" s="19"/>
      <c r="H66" s="19"/>
    </row>
    <row r="67" spans="1:8" ht="15" thickBot="1">
      <c r="A67" s="259" t="s">
        <v>101</v>
      </c>
      <c r="B67" s="20"/>
      <c r="C67" s="19"/>
      <c r="D67" s="27">
        <f>D64+D62</f>
        <v>14426.283915949562</v>
      </c>
      <c r="E67" s="28"/>
      <c r="F67" s="33" t="s">
        <v>24</v>
      </c>
      <c r="G67" s="19"/>
      <c r="H67" s="19"/>
    </row>
    <row r="68" spans="1:6" ht="15" thickTop="1">
      <c r="A68" s="259"/>
      <c r="B68" s="12"/>
      <c r="C68" s="12"/>
      <c r="D68" s="12"/>
      <c r="E68" s="28"/>
      <c r="F68" s="12"/>
    </row>
    <row r="69" spans="1:6" ht="14.25">
      <c r="A69" s="12"/>
      <c r="B69" s="12"/>
      <c r="C69" s="12"/>
      <c r="D69" s="12"/>
      <c r="E69" s="28"/>
      <c r="F69" s="12"/>
    </row>
    <row r="70" spans="1:6" ht="15">
      <c r="A70" s="16" t="s">
        <v>96</v>
      </c>
      <c r="B70" s="12"/>
      <c r="C70" s="12"/>
      <c r="D70" s="12"/>
      <c r="E70" s="28"/>
      <c r="F70" s="12"/>
    </row>
    <row r="71" spans="1:6" ht="14.25">
      <c r="A71" s="12" t="s">
        <v>81</v>
      </c>
      <c r="B71" s="12"/>
      <c r="C71" s="12"/>
      <c r="D71" s="32">
        <f>'[1]cashflow.'!D65</f>
        <v>24215.425580000003</v>
      </c>
      <c r="E71" s="28"/>
      <c r="F71" s="29" t="s">
        <v>24</v>
      </c>
    </row>
    <row r="72" spans="1:6" ht="14.25">
      <c r="A72" s="12" t="s">
        <v>82</v>
      </c>
      <c r="B72" s="12"/>
      <c r="C72" s="12"/>
      <c r="D72" s="32">
        <f>'[1]cashflow.'!D66</f>
        <v>3321.387730000001</v>
      </c>
      <c r="E72" s="28"/>
      <c r="F72" s="29" t="s">
        <v>24</v>
      </c>
    </row>
    <row r="73" spans="1:6" ht="12.75">
      <c r="A73" s="12" t="s">
        <v>83</v>
      </c>
      <c r="B73" s="12"/>
      <c r="C73" s="12"/>
      <c r="D73" s="32">
        <f>'[1]cashflow.'!D67</f>
        <v>-5084</v>
      </c>
      <c r="F73" s="29" t="s">
        <v>24</v>
      </c>
    </row>
    <row r="74" spans="1:6" ht="12.75">
      <c r="A74" s="44" t="s">
        <v>93</v>
      </c>
      <c r="B74" s="47"/>
      <c r="C74" s="12"/>
      <c r="D74" s="32">
        <f>'[1]cashflow.'!$D$69</f>
        <v>-8027.46</v>
      </c>
      <c r="F74" s="29" t="s">
        <v>24</v>
      </c>
    </row>
    <row r="75" spans="1:6" ht="15" thickBot="1">
      <c r="A75" s="12"/>
      <c r="B75" s="12"/>
      <c r="C75" s="12"/>
      <c r="D75" s="46">
        <f>SUM(D71:D74)</f>
        <v>14425.353310000006</v>
      </c>
      <c r="E75" s="28"/>
      <c r="F75" s="48" t="s">
        <v>24</v>
      </c>
    </row>
    <row r="76" spans="5:6" ht="15" thickTop="1">
      <c r="E76" s="28"/>
      <c r="F76" s="12"/>
    </row>
    <row r="77" spans="4:5" ht="14.25">
      <c r="D77" s="52">
        <f>D75-D67</f>
        <v>-0.9306059495556838</v>
      </c>
      <c r="E77" s="28"/>
    </row>
    <row r="78" ht="12.75" customHeight="1"/>
    <row r="79" ht="12.75">
      <c r="A79" s="43" t="s">
        <v>94</v>
      </c>
    </row>
    <row r="80" ht="12.75">
      <c r="A80" s="43" t="s">
        <v>52</v>
      </c>
    </row>
    <row r="81" ht="12.75">
      <c r="A81" s="43" t="s">
        <v>95</v>
      </c>
    </row>
  </sheetData>
  <sheetProtection/>
  <mergeCells count="2">
    <mergeCell ref="A64:A65"/>
    <mergeCell ref="A67:A68"/>
  </mergeCells>
  <printOptions/>
  <pageMargins left="0.25" right="0.21" top="0.17" bottom="0.16" header="0.17" footer="0.16"/>
  <pageSetup fitToHeight="1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36"/>
  <sheetViews>
    <sheetView zoomScalePageLayoutView="0" workbookViewId="0" topLeftCell="A10">
      <selection activeCell="C18" sqref="C18"/>
    </sheetView>
  </sheetViews>
  <sheetFormatPr defaultColWidth="9.140625" defaultRowHeight="12.75"/>
  <cols>
    <col min="1" max="1" width="5.57421875" style="0" customWidth="1"/>
    <col min="2" max="2" width="30.8515625" style="0" customWidth="1"/>
    <col min="3" max="3" width="14.57421875" style="0" customWidth="1"/>
    <col min="4" max="4" width="18.00390625" style="0" customWidth="1"/>
    <col min="5" max="5" width="19.57421875" style="0" customWidth="1"/>
    <col min="6" max="6" width="20.140625" style="0" customWidth="1"/>
  </cols>
  <sheetData>
    <row r="1" ht="20.25">
      <c r="A1" s="6" t="str">
        <f>+'Income statement'!B1</f>
        <v>HANDAL RESOURCES  BERHAD (816839-X)</v>
      </c>
    </row>
    <row r="3" ht="12.75">
      <c r="B3" s="2" t="s">
        <v>17</v>
      </c>
    </row>
    <row r="4" spans="21:33" ht="12.75">
      <c r="U4" t="s">
        <v>14</v>
      </c>
      <c r="V4" t="s">
        <v>15</v>
      </c>
      <c r="X4" t="s">
        <v>16</v>
      </c>
      <c r="Y4" t="s">
        <v>15</v>
      </c>
      <c r="AC4" t="s">
        <v>3</v>
      </c>
      <c r="AD4" t="s">
        <v>3</v>
      </c>
      <c r="AF4" t="s">
        <v>3</v>
      </c>
      <c r="AG4" t="s">
        <v>3</v>
      </c>
    </row>
    <row r="5" ht="13.5" thickBot="1"/>
    <row r="6" spans="3:8" ht="13.5" thickBot="1">
      <c r="C6" s="262" t="s">
        <v>18</v>
      </c>
      <c r="D6" s="263"/>
      <c r="E6" s="262" t="s">
        <v>19</v>
      </c>
      <c r="F6" s="263"/>
      <c r="H6" s="7"/>
    </row>
    <row r="7" spans="3:6" ht="12.75">
      <c r="C7" s="264" t="s">
        <v>20</v>
      </c>
      <c r="D7" s="264" t="s">
        <v>21</v>
      </c>
      <c r="E7" s="264" t="s">
        <v>23</v>
      </c>
      <c r="F7" s="264" t="s">
        <v>22</v>
      </c>
    </row>
    <row r="8" spans="3:6" ht="12.75">
      <c r="C8" s="264"/>
      <c r="D8" s="264"/>
      <c r="E8" s="264"/>
      <c r="F8" s="264"/>
    </row>
    <row r="9" spans="3:6" ht="12.75">
      <c r="C9" s="264"/>
      <c r="D9" s="264"/>
      <c r="E9" s="264"/>
      <c r="F9" s="264"/>
    </row>
    <row r="10" spans="3:6" ht="12.75">
      <c r="C10" s="5" t="e">
        <f>+'Income statement'!#REF!</f>
        <v>#REF!</v>
      </c>
      <c r="D10" s="5" t="e">
        <f>+'Income statement'!#REF!</f>
        <v>#REF!</v>
      </c>
      <c r="E10" s="5" t="e">
        <f>+C10</f>
        <v>#REF!</v>
      </c>
      <c r="F10" s="5" t="e">
        <f>+D10</f>
        <v>#REF!</v>
      </c>
    </row>
    <row r="11" spans="3:6" ht="12.75">
      <c r="C11" s="5"/>
      <c r="D11" s="5"/>
      <c r="E11" s="5"/>
      <c r="F11" s="5"/>
    </row>
    <row r="12" spans="3:6" ht="12.75">
      <c r="C12" s="5" t="s">
        <v>3</v>
      </c>
      <c r="D12" s="5" t="s">
        <v>3</v>
      </c>
      <c r="E12" s="5" t="s">
        <v>3</v>
      </c>
      <c r="F12" s="5" t="s">
        <v>3</v>
      </c>
    </row>
    <row r="14" spans="1:6" ht="12.75">
      <c r="A14" s="1">
        <v>1</v>
      </c>
      <c r="B14" t="s">
        <v>1</v>
      </c>
      <c r="C14" s="9" t="e">
        <f>+'Income statement'!#REF!</f>
        <v>#REF!</v>
      </c>
      <c r="D14" s="9" t="e">
        <f>+'Income statement'!#REF!</f>
        <v>#REF!</v>
      </c>
      <c r="E14" s="9">
        <f>+'Income statement'!P16</f>
        <v>99898.84112998159</v>
      </c>
      <c r="F14" s="9">
        <f>+'Income statement'!Q16</f>
        <v>97580</v>
      </c>
    </row>
    <row r="15" spans="1:6" ht="12.75">
      <c r="A15" s="1"/>
      <c r="C15" s="9"/>
      <c r="D15" s="9"/>
      <c r="E15" s="9"/>
      <c r="F15" s="9"/>
    </row>
    <row r="16" spans="1:6" ht="12.75">
      <c r="A16" s="1">
        <v>2</v>
      </c>
      <c r="B16" t="s">
        <v>42</v>
      </c>
      <c r="C16" s="9" t="e">
        <f>+'Income statement'!#REF!</f>
        <v>#REF!</v>
      </c>
      <c r="D16" s="9" t="e">
        <f>+'Income statement'!#REF!</f>
        <v>#REF!</v>
      </c>
      <c r="E16" s="9">
        <f>+'Income statement'!P30</f>
        <v>6473.1757582391365</v>
      </c>
      <c r="F16" s="9">
        <f>+'Income statement'!Q30</f>
        <v>4164</v>
      </c>
    </row>
    <row r="17" spans="1:6" ht="12.75">
      <c r="A17" s="1"/>
      <c r="C17" s="9"/>
      <c r="D17" s="9"/>
      <c r="E17" s="9"/>
      <c r="F17" s="9"/>
    </row>
    <row r="18" spans="1:6" ht="12.75">
      <c r="A18" s="1">
        <v>3</v>
      </c>
      <c r="B18" s="260" t="s">
        <v>49</v>
      </c>
      <c r="C18" s="9" t="e">
        <f>+'Income statement'!#REF!</f>
        <v>#REF!</v>
      </c>
      <c r="D18" s="9" t="e">
        <f>+'Income statement'!#REF!</f>
        <v>#REF!</v>
      </c>
      <c r="E18" s="9" t="e">
        <f>+'Income statement'!#REF!</f>
        <v>#REF!</v>
      </c>
      <c r="F18" s="9" t="e">
        <f>+'Income statement'!#REF!</f>
        <v>#REF!</v>
      </c>
    </row>
    <row r="19" spans="1:6" ht="12.75">
      <c r="A19" s="1"/>
      <c r="B19" s="260"/>
      <c r="C19" s="9"/>
      <c r="D19" s="9"/>
      <c r="E19" s="9"/>
      <c r="F19" s="9"/>
    </row>
    <row r="20" spans="1:6" ht="12.75">
      <c r="A20" s="1"/>
      <c r="C20" s="9"/>
      <c r="D20" s="9"/>
      <c r="E20" s="9"/>
      <c r="F20" s="9"/>
    </row>
    <row r="21" spans="1:6" ht="12.75">
      <c r="A21" s="1">
        <v>4</v>
      </c>
      <c r="B21" t="s">
        <v>45</v>
      </c>
      <c r="C21" s="9" t="e">
        <f>+'Income statement'!#REF!</f>
        <v>#REF!</v>
      </c>
      <c r="D21" s="9" t="e">
        <f>+'Income statement'!#REF!</f>
        <v>#REF!</v>
      </c>
      <c r="E21" s="9" t="e">
        <f>+'Income statement'!#REF!</f>
        <v>#REF!</v>
      </c>
      <c r="F21" s="9" t="e">
        <f>+'Income statement'!#REF!</f>
        <v>#REF!</v>
      </c>
    </row>
    <row r="22" spans="1:6" ht="12.75">
      <c r="A22" s="1"/>
      <c r="B22" t="s">
        <v>46</v>
      </c>
      <c r="C22" s="9"/>
      <c r="D22" s="9"/>
      <c r="E22" s="9"/>
      <c r="F22" s="9"/>
    </row>
    <row r="23" spans="1:6" ht="12.75">
      <c r="A23" s="1"/>
      <c r="C23" s="9"/>
      <c r="D23" s="9"/>
      <c r="E23" s="9"/>
      <c r="F23" s="9"/>
    </row>
    <row r="24" spans="1:6" ht="25.5">
      <c r="A24" s="1">
        <v>5</v>
      </c>
      <c r="B24" s="8" t="s">
        <v>43</v>
      </c>
      <c r="C24" s="10" t="e">
        <f>+C18/43560*100</f>
        <v>#REF!</v>
      </c>
      <c r="D24" s="10" t="e">
        <f>+D21/43560*100</f>
        <v>#REF!</v>
      </c>
      <c r="E24" s="10" t="e">
        <f>+E18/43560*100</f>
        <v>#REF!</v>
      </c>
      <c r="F24" s="10" t="e">
        <f>+F21/43560*100</f>
        <v>#REF!</v>
      </c>
    </row>
    <row r="25" spans="1:6" ht="12.75">
      <c r="A25" s="1"/>
      <c r="B25" s="8"/>
      <c r="C25" s="9"/>
      <c r="D25" s="9"/>
      <c r="E25" s="9"/>
      <c r="F25" s="9"/>
    </row>
    <row r="26" spans="1:6" ht="12.75">
      <c r="A26" s="1"/>
      <c r="C26" s="9"/>
      <c r="D26" s="9"/>
      <c r="E26" s="9"/>
      <c r="F26" s="9"/>
    </row>
    <row r="27" spans="1:6" ht="25.5">
      <c r="A27" s="1">
        <v>6</v>
      </c>
      <c r="B27" s="8" t="s">
        <v>47</v>
      </c>
      <c r="C27" s="14">
        <v>0</v>
      </c>
      <c r="D27" s="13">
        <v>0</v>
      </c>
      <c r="E27" s="13">
        <v>0</v>
      </c>
      <c r="F27" s="13">
        <v>0</v>
      </c>
    </row>
    <row r="28" spans="1:6" ht="12.75">
      <c r="A28" s="1"/>
      <c r="B28" s="8"/>
      <c r="C28" s="9"/>
      <c r="D28" s="9"/>
      <c r="E28" s="9"/>
      <c r="F28" s="9"/>
    </row>
    <row r="29" spans="1:6" ht="12.75">
      <c r="A29" s="1"/>
      <c r="B29" s="8"/>
      <c r="C29" s="9"/>
      <c r="D29" s="9"/>
      <c r="E29" s="9"/>
      <c r="F29" s="9"/>
    </row>
    <row r="30" spans="1:6" ht="12.75">
      <c r="A30" s="1"/>
      <c r="B30" s="8"/>
      <c r="C30" s="9"/>
      <c r="D30" s="9"/>
      <c r="E30" s="4" t="s">
        <v>27</v>
      </c>
      <c r="F30" s="4" t="s">
        <v>29</v>
      </c>
    </row>
    <row r="31" spans="3:6" ht="12.75">
      <c r="C31" s="9"/>
      <c r="D31" s="9"/>
      <c r="E31" s="4" t="s">
        <v>28</v>
      </c>
      <c r="F31" s="4" t="s">
        <v>30</v>
      </c>
    </row>
    <row r="32" spans="3:6" ht="12.75">
      <c r="C32" s="9"/>
      <c r="D32" s="9"/>
      <c r="E32" s="4"/>
      <c r="F32" s="4"/>
    </row>
    <row r="33" spans="1:6" ht="12.75">
      <c r="A33">
        <v>7</v>
      </c>
      <c r="B33" s="261" t="s">
        <v>48</v>
      </c>
      <c r="C33" s="9"/>
      <c r="D33" s="9"/>
      <c r="E33" s="10">
        <f>+'balance sheet'!C68</f>
        <v>0.6427491294333333</v>
      </c>
      <c r="F33" s="10">
        <f>+'balance sheet'!G68</f>
        <v>0.6160797875</v>
      </c>
    </row>
    <row r="34" spans="2:6" ht="12.75">
      <c r="B34" s="261"/>
      <c r="C34" s="9"/>
      <c r="D34" s="9"/>
      <c r="E34" s="9"/>
      <c r="F34" s="9"/>
    </row>
    <row r="35" spans="2:6" ht="12.75">
      <c r="B35" s="261"/>
      <c r="C35" s="9"/>
      <c r="D35" s="9"/>
      <c r="E35" s="9"/>
      <c r="F35" s="9"/>
    </row>
    <row r="36" spans="3:6" ht="12.75">
      <c r="C36" s="9"/>
      <c r="D36" s="9"/>
      <c r="E36" s="9"/>
      <c r="F36" s="9"/>
    </row>
  </sheetData>
  <sheetProtection/>
  <mergeCells count="8">
    <mergeCell ref="B18:B19"/>
    <mergeCell ref="B33:B35"/>
    <mergeCell ref="C6:D6"/>
    <mergeCell ref="E6:F6"/>
    <mergeCell ref="C7:C9"/>
    <mergeCell ref="D7:D9"/>
    <mergeCell ref="E7:E9"/>
    <mergeCell ref="F7:F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94"/>
  <sheetViews>
    <sheetView zoomScalePageLayoutView="0" workbookViewId="0" topLeftCell="A64">
      <selection activeCell="D99" sqref="D99"/>
    </sheetView>
  </sheetViews>
  <sheetFormatPr defaultColWidth="9.140625" defaultRowHeight="12.75"/>
  <cols>
    <col min="2" max="2" width="52.7109375" style="0" customWidth="1"/>
    <col min="3" max="3" width="9.140625" style="150" customWidth="1"/>
    <col min="4" max="4" width="17.8515625" style="150" customWidth="1"/>
    <col min="5" max="5" width="11.00390625" style="0" customWidth="1"/>
  </cols>
  <sheetData>
    <row r="1" ht="15">
      <c r="B1" s="16" t="s">
        <v>168</v>
      </c>
    </row>
    <row r="2" ht="15">
      <c r="B2" s="16" t="s">
        <v>169</v>
      </c>
    </row>
    <row r="3" ht="15">
      <c r="B3" s="16" t="s">
        <v>170</v>
      </c>
    </row>
    <row r="4" ht="15">
      <c r="B4" s="16"/>
    </row>
    <row r="5" ht="15">
      <c r="B5" s="16" t="s">
        <v>171</v>
      </c>
    </row>
    <row r="6" ht="15">
      <c r="B6" s="16" t="s">
        <v>172</v>
      </c>
    </row>
    <row r="7" ht="14.25">
      <c r="B7" s="147"/>
    </row>
    <row r="8" spans="2:4" ht="15">
      <c r="B8" s="24"/>
      <c r="C8" s="17" t="s">
        <v>173</v>
      </c>
      <c r="D8" s="17">
        <v>2009</v>
      </c>
    </row>
    <row r="9" spans="2:4" ht="15">
      <c r="B9" s="24"/>
      <c r="C9" s="17"/>
      <c r="D9" s="17" t="s">
        <v>174</v>
      </c>
    </row>
    <row r="10" spans="2:4" ht="14.25">
      <c r="B10" s="20"/>
      <c r="C10" s="19"/>
      <c r="D10" s="19"/>
    </row>
    <row r="11" spans="2:4" ht="14.25">
      <c r="B11" s="20" t="s">
        <v>63</v>
      </c>
      <c r="C11" s="19"/>
      <c r="D11" s="19"/>
    </row>
    <row r="12" spans="2:4" ht="14.25">
      <c r="B12" s="20" t="s">
        <v>2</v>
      </c>
      <c r="C12" s="19"/>
      <c r="D12" s="152">
        <v>13768765</v>
      </c>
    </row>
    <row r="13" spans="2:4" ht="14.25">
      <c r="B13" s="20"/>
      <c r="C13" s="19"/>
      <c r="D13" s="19"/>
    </row>
    <row r="14" spans="2:4" ht="14.25">
      <c r="B14" s="20" t="s">
        <v>7</v>
      </c>
      <c r="C14" s="19"/>
      <c r="D14" s="19"/>
    </row>
    <row r="15" spans="2:4" ht="14.25">
      <c r="B15" s="20"/>
      <c r="C15" s="19"/>
      <c r="D15" s="19"/>
    </row>
    <row r="16" spans="2:4" ht="14.25">
      <c r="B16" s="20" t="s">
        <v>64</v>
      </c>
      <c r="C16" s="19"/>
      <c r="D16" s="152">
        <v>1410509</v>
      </c>
    </row>
    <row r="17" spans="2:4" ht="14.25">
      <c r="B17" s="20" t="s">
        <v>65</v>
      </c>
      <c r="C17" s="19"/>
      <c r="D17" s="152">
        <v>968612</v>
      </c>
    </row>
    <row r="18" spans="2:4" ht="14.25">
      <c r="B18" s="20" t="s">
        <v>175</v>
      </c>
      <c r="C18" s="19"/>
      <c r="D18" s="152">
        <v>48152</v>
      </c>
    </row>
    <row r="19" spans="2:4" ht="14.25">
      <c r="B19" s="20" t="s">
        <v>66</v>
      </c>
      <c r="C19" s="19"/>
      <c r="D19" s="152">
        <v>29548</v>
      </c>
    </row>
    <row r="20" spans="2:4" ht="14.25">
      <c r="B20" s="20" t="s">
        <v>176</v>
      </c>
      <c r="C20" s="19"/>
      <c r="D20" s="152">
        <v>-38068</v>
      </c>
    </row>
    <row r="21" spans="2:4" ht="14.25">
      <c r="B21" s="20" t="s">
        <v>67</v>
      </c>
      <c r="C21" s="19"/>
      <c r="D21" s="152">
        <v>-381336</v>
      </c>
    </row>
    <row r="22" spans="2:5" ht="15" thickBot="1">
      <c r="B22" s="20" t="s">
        <v>177</v>
      </c>
      <c r="C22" s="19"/>
      <c r="D22" s="153">
        <v>-1123129</v>
      </c>
      <c r="E22" s="7">
        <f>SUM(D16:D22)</f>
        <v>914288</v>
      </c>
    </row>
    <row r="23" spans="2:4" ht="14.25">
      <c r="B23" s="20"/>
      <c r="C23" s="19"/>
      <c r="D23" s="19"/>
    </row>
    <row r="24" spans="2:4" ht="14.25">
      <c r="B24" s="20" t="s">
        <v>8</v>
      </c>
      <c r="C24" s="19"/>
      <c r="D24" s="152">
        <v>14683053</v>
      </c>
    </row>
    <row r="25" spans="2:4" ht="14.25">
      <c r="B25" s="20"/>
      <c r="C25" s="19"/>
      <c r="D25" s="19"/>
    </row>
    <row r="26" spans="2:4" ht="14.25">
      <c r="B26" s="24" t="s">
        <v>178</v>
      </c>
      <c r="C26" s="19"/>
      <c r="D26" s="152">
        <v>1005378</v>
      </c>
    </row>
    <row r="27" spans="2:4" ht="14.25">
      <c r="B27" s="24" t="s">
        <v>179</v>
      </c>
      <c r="C27" s="19"/>
      <c r="D27" s="152">
        <v>2638376</v>
      </c>
    </row>
    <row r="28" spans="2:4" ht="14.25">
      <c r="B28" s="20" t="s">
        <v>139</v>
      </c>
      <c r="C28" s="19"/>
      <c r="D28" s="152">
        <v>-3186200</v>
      </c>
    </row>
    <row r="29" spans="2:4" ht="28.5">
      <c r="B29" s="20" t="s">
        <v>180</v>
      </c>
      <c r="C29" s="19"/>
      <c r="D29" s="152">
        <v>-1774921</v>
      </c>
    </row>
    <row r="30" spans="2:4" ht="28.5">
      <c r="B30" s="20" t="s">
        <v>129</v>
      </c>
      <c r="C30" s="19"/>
      <c r="D30" s="152">
        <v>1373389</v>
      </c>
    </row>
    <row r="31" spans="2:4" ht="14.25">
      <c r="B31" s="20" t="s">
        <v>69</v>
      </c>
      <c r="C31" s="19"/>
      <c r="D31" s="152">
        <v>189777</v>
      </c>
    </row>
    <row r="32" spans="2:4" ht="15" thickBot="1">
      <c r="B32" s="20" t="s">
        <v>130</v>
      </c>
      <c r="C32" s="19"/>
      <c r="D32" s="153">
        <v>-271731</v>
      </c>
    </row>
    <row r="33" spans="2:4" ht="14.25">
      <c r="B33" s="24"/>
      <c r="C33" s="19"/>
      <c r="D33" s="19"/>
    </row>
    <row r="34" spans="2:4" ht="14.25">
      <c r="B34" s="24" t="s">
        <v>181</v>
      </c>
      <c r="C34" s="19"/>
      <c r="D34" s="152">
        <v>14657121</v>
      </c>
    </row>
    <row r="35" spans="2:4" ht="14.25">
      <c r="B35" s="24"/>
      <c r="C35" s="19"/>
      <c r="D35" s="19"/>
    </row>
    <row r="36" spans="2:4" ht="14.25">
      <c r="B36" s="18" t="s">
        <v>9</v>
      </c>
      <c r="C36" s="19"/>
      <c r="D36" s="152">
        <v>-134101</v>
      </c>
    </row>
    <row r="37" spans="2:4" ht="15" thickBot="1">
      <c r="B37" s="18" t="s">
        <v>70</v>
      </c>
      <c r="C37" s="19"/>
      <c r="D37" s="153">
        <v>-3491456</v>
      </c>
    </row>
    <row r="38" spans="2:4" ht="14.25">
      <c r="B38" s="18"/>
      <c r="C38" s="19"/>
      <c r="D38" s="19"/>
    </row>
    <row r="39" spans="2:4" ht="15" thickBot="1">
      <c r="B39" s="18" t="s">
        <v>44</v>
      </c>
      <c r="C39" s="19"/>
      <c r="D39" s="153">
        <v>11031564</v>
      </c>
    </row>
    <row r="40" spans="2:4" ht="14.25">
      <c r="B40" s="18"/>
      <c r="C40" s="19"/>
      <c r="D40" s="19"/>
    </row>
    <row r="41" spans="2:4" ht="15">
      <c r="B41" s="18" t="s">
        <v>71</v>
      </c>
      <c r="C41" s="19"/>
      <c r="D41" s="17"/>
    </row>
    <row r="42" spans="2:4" ht="14.25">
      <c r="B42" s="18" t="s">
        <v>182</v>
      </c>
      <c r="C42" s="19"/>
      <c r="D42" s="19"/>
    </row>
    <row r="43" spans="2:4" ht="14.25">
      <c r="B43" s="18" t="s">
        <v>183</v>
      </c>
      <c r="C43" s="19">
        <v>17</v>
      </c>
      <c r="D43" s="152">
        <v>15479479</v>
      </c>
    </row>
    <row r="44" spans="2:4" ht="14.25">
      <c r="B44" s="18" t="s">
        <v>184</v>
      </c>
      <c r="C44" s="19"/>
      <c r="D44" s="152">
        <v>381336</v>
      </c>
    </row>
    <row r="45" spans="2:4" ht="14.25">
      <c r="B45" s="18" t="s">
        <v>185</v>
      </c>
      <c r="C45" s="19"/>
      <c r="D45" s="152">
        <v>38068</v>
      </c>
    </row>
    <row r="46" spans="2:4" ht="14.25">
      <c r="B46" s="18" t="s">
        <v>90</v>
      </c>
      <c r="C46" s="19"/>
      <c r="D46" s="152">
        <v>-500682</v>
      </c>
    </row>
    <row r="47" spans="2:4" ht="15" thickBot="1">
      <c r="B47" s="18" t="s">
        <v>73</v>
      </c>
      <c r="C47" s="19">
        <v>25</v>
      </c>
      <c r="D47" s="152">
        <v>-11636454</v>
      </c>
    </row>
    <row r="48" spans="2:4" ht="15">
      <c r="B48" s="18"/>
      <c r="C48" s="19"/>
      <c r="D48" s="154"/>
    </row>
    <row r="49" spans="2:4" ht="15" thickBot="1">
      <c r="B49" s="18" t="s">
        <v>186</v>
      </c>
      <c r="C49" s="19"/>
      <c r="D49" s="153">
        <v>3761747</v>
      </c>
    </row>
    <row r="50" spans="2:4" ht="12.75">
      <c r="B50" s="148"/>
      <c r="C50" s="151"/>
      <c r="D50" s="151"/>
    </row>
    <row r="51" spans="2:5" ht="15">
      <c r="B51" s="20"/>
      <c r="C51" s="19"/>
      <c r="D51" s="17"/>
      <c r="E51" s="149"/>
    </row>
    <row r="52" spans="2:5" ht="15">
      <c r="B52" s="20" t="s">
        <v>75</v>
      </c>
      <c r="C52" s="19"/>
      <c r="D52" s="17"/>
      <c r="E52" s="149"/>
    </row>
    <row r="53" spans="2:5" ht="15">
      <c r="B53" s="20" t="s">
        <v>187</v>
      </c>
      <c r="C53" s="19"/>
      <c r="D53" s="152">
        <v>13320000</v>
      </c>
      <c r="E53" s="149"/>
    </row>
    <row r="54" spans="2:5" ht="15">
      <c r="B54" s="20" t="s">
        <v>188</v>
      </c>
      <c r="C54" s="19"/>
      <c r="D54" s="152">
        <v>1785884</v>
      </c>
      <c r="E54" s="149"/>
    </row>
    <row r="55" spans="2:5" ht="15">
      <c r="B55" s="20" t="s">
        <v>76</v>
      </c>
      <c r="C55" s="19"/>
      <c r="D55" s="152">
        <v>-9886</v>
      </c>
      <c r="E55" s="149"/>
    </row>
    <row r="56" spans="2:5" ht="15">
      <c r="B56" s="20" t="s">
        <v>189</v>
      </c>
      <c r="C56" s="19"/>
      <c r="D56" s="152">
        <v>-26016</v>
      </c>
      <c r="E56" s="149"/>
    </row>
    <row r="57" spans="2:5" ht="15">
      <c r="B57" s="20" t="s">
        <v>77</v>
      </c>
      <c r="C57" s="19"/>
      <c r="D57" s="152">
        <v>-63273</v>
      </c>
      <c r="E57" s="149"/>
    </row>
    <row r="58" spans="2:5" ht="15">
      <c r="B58" s="20" t="s">
        <v>190</v>
      </c>
      <c r="C58" s="19"/>
      <c r="D58" s="152">
        <v>-666770</v>
      </c>
      <c r="E58" s="149"/>
    </row>
    <row r="59" spans="2:5" ht="15">
      <c r="B59" s="20" t="s">
        <v>191</v>
      </c>
      <c r="C59" s="19"/>
      <c r="D59" s="152">
        <v>-2520424</v>
      </c>
      <c r="E59" s="149"/>
    </row>
    <row r="60" spans="2:5" ht="15">
      <c r="B60" s="20" t="s">
        <v>192</v>
      </c>
      <c r="C60" s="19"/>
      <c r="D60" s="152">
        <v>-2812839</v>
      </c>
      <c r="E60" s="149"/>
    </row>
    <row r="61" spans="2:5" ht="15.75" thickBot="1">
      <c r="B61" s="20" t="s">
        <v>193</v>
      </c>
      <c r="C61" s="19"/>
      <c r="D61" s="153">
        <v>-5000000</v>
      </c>
      <c r="E61" s="149"/>
    </row>
    <row r="62" spans="2:5" ht="15">
      <c r="B62" s="20"/>
      <c r="C62" s="19"/>
      <c r="D62" s="19"/>
      <c r="E62" s="149"/>
    </row>
    <row r="63" spans="2:5" ht="15.75" thickBot="1">
      <c r="B63" s="20" t="s">
        <v>194</v>
      </c>
      <c r="C63" s="19"/>
      <c r="D63" s="153">
        <v>4006676</v>
      </c>
      <c r="E63" s="149"/>
    </row>
    <row r="64" spans="2:5" ht="15">
      <c r="B64" s="20"/>
      <c r="C64" s="19"/>
      <c r="D64" s="17"/>
      <c r="E64" s="149"/>
    </row>
    <row r="65" spans="2:5" ht="14.25">
      <c r="B65" s="20" t="s">
        <v>195</v>
      </c>
      <c r="C65" s="19"/>
      <c r="D65" s="152">
        <v>18799987</v>
      </c>
      <c r="E65" s="24"/>
    </row>
    <row r="66" spans="2:5" ht="15">
      <c r="B66" s="20"/>
      <c r="C66" s="19"/>
      <c r="D66" s="19"/>
      <c r="E66" s="149"/>
    </row>
    <row r="67" spans="2:5" ht="28.5">
      <c r="B67" s="20" t="s">
        <v>196</v>
      </c>
      <c r="C67" s="19"/>
      <c r="D67" s="19"/>
      <c r="E67" s="149"/>
    </row>
    <row r="68" spans="2:5" ht="15.75" thickBot="1">
      <c r="B68" s="20"/>
      <c r="C68" s="19"/>
      <c r="D68" s="155">
        <v>2</v>
      </c>
      <c r="E68" s="149"/>
    </row>
    <row r="69" spans="2:5" ht="15">
      <c r="B69" s="20"/>
      <c r="C69" s="19"/>
      <c r="D69" s="19"/>
      <c r="E69" s="149"/>
    </row>
    <row r="70" spans="2:5" ht="15.75" thickBot="1">
      <c r="B70" s="20" t="s">
        <v>197</v>
      </c>
      <c r="C70" s="19">
        <v>26</v>
      </c>
      <c r="D70" s="156">
        <v>18799989</v>
      </c>
      <c r="E70" s="149"/>
    </row>
    <row r="71" spans="2:5" ht="13.5" thickTop="1">
      <c r="B71" s="148"/>
      <c r="C71" s="151"/>
      <c r="D71" s="151"/>
      <c r="E71" s="148"/>
    </row>
    <row r="72" ht="14.25">
      <c r="B72" s="60"/>
    </row>
    <row r="73" ht="14.25">
      <c r="B73" s="51"/>
    </row>
    <row r="74" ht="14.25">
      <c r="B74" s="51"/>
    </row>
    <row r="75" spans="2:4" ht="15">
      <c r="B75" s="158" t="s">
        <v>207</v>
      </c>
      <c r="C75"/>
      <c r="D75"/>
    </row>
    <row r="76" spans="2:4" ht="14.25">
      <c r="B76" s="147"/>
      <c r="C76"/>
      <c r="D76"/>
    </row>
    <row r="77" spans="2:4" ht="42.75">
      <c r="B77" s="147" t="s">
        <v>198</v>
      </c>
      <c r="C77"/>
      <c r="D77"/>
    </row>
    <row r="78" spans="2:4" ht="14.25">
      <c r="B78" s="147"/>
      <c r="C78"/>
      <c r="D78"/>
    </row>
    <row r="79" spans="2:7" ht="15.75" thickBot="1">
      <c r="B79" s="25"/>
      <c r="D79" s="159" t="s">
        <v>199</v>
      </c>
      <c r="E79" s="160"/>
      <c r="F79" s="265"/>
      <c r="G79" s="265"/>
    </row>
    <row r="80" spans="2:7" ht="15">
      <c r="B80" s="25"/>
      <c r="D80" s="17">
        <v>2009</v>
      </c>
      <c r="E80" s="160"/>
      <c r="F80" s="161"/>
      <c r="G80" s="160"/>
    </row>
    <row r="81" spans="2:7" ht="15">
      <c r="B81" s="20"/>
      <c r="D81" s="17" t="s">
        <v>174</v>
      </c>
      <c r="E81" s="160"/>
      <c r="F81" s="161"/>
      <c r="G81" s="160"/>
    </row>
    <row r="82" spans="2:7" ht="15">
      <c r="B82" s="20"/>
      <c r="D82" s="17"/>
      <c r="E82" s="160"/>
      <c r="F82" s="161"/>
      <c r="G82" s="161"/>
    </row>
    <row r="83" spans="2:7" ht="14.25">
      <c r="B83" s="20" t="s">
        <v>200</v>
      </c>
      <c r="D83" s="152">
        <v>8538068</v>
      </c>
      <c r="E83" s="162"/>
      <c r="F83" s="163"/>
      <c r="G83" s="163"/>
    </row>
    <row r="84" spans="2:7" ht="15">
      <c r="B84" s="20" t="s">
        <v>201</v>
      </c>
      <c r="D84" s="17"/>
      <c r="E84" s="160"/>
      <c r="F84" s="161"/>
      <c r="G84" s="161"/>
    </row>
    <row r="85" spans="2:7" ht="14.25">
      <c r="B85" s="20" t="s">
        <v>202</v>
      </c>
      <c r="D85" s="152">
        <v>19711108</v>
      </c>
      <c r="E85" s="163"/>
      <c r="F85" s="164"/>
      <c r="G85" s="163"/>
    </row>
    <row r="86" spans="2:7" ht="14.25">
      <c r="B86" s="20" t="s">
        <v>203</v>
      </c>
      <c r="D86" s="152">
        <v>3199333</v>
      </c>
      <c r="E86" s="162"/>
      <c r="F86" s="164"/>
      <c r="G86" s="163"/>
    </row>
    <row r="87" spans="2:7" ht="15" thickBot="1">
      <c r="B87" s="20" t="s">
        <v>204</v>
      </c>
      <c r="D87" s="153">
        <v>-3959186</v>
      </c>
      <c r="E87" s="163"/>
      <c r="F87" s="164"/>
      <c r="G87" s="163"/>
    </row>
    <row r="88" spans="2:7" ht="14.25">
      <c r="B88" s="20"/>
      <c r="D88" s="19"/>
      <c r="E88" s="163"/>
      <c r="F88" s="164"/>
      <c r="G88" s="163"/>
    </row>
    <row r="89" spans="2:7" ht="14.25">
      <c r="B89" s="20"/>
      <c r="D89" s="152">
        <v>27489323</v>
      </c>
      <c r="E89" s="162"/>
      <c r="F89" s="164"/>
      <c r="G89" s="163"/>
    </row>
    <row r="90" spans="2:7" ht="15">
      <c r="B90" s="20" t="s">
        <v>205</v>
      </c>
      <c r="D90" s="17"/>
      <c r="E90" s="160"/>
      <c r="F90" s="161"/>
      <c r="G90" s="160"/>
    </row>
    <row r="91" spans="2:7" ht="15" thickBot="1">
      <c r="B91" s="20" t="s">
        <v>206</v>
      </c>
      <c r="D91" s="153">
        <v>-8689334</v>
      </c>
      <c r="E91" s="165"/>
      <c r="F91" s="165"/>
      <c r="G91" s="163"/>
    </row>
    <row r="92" spans="2:7" ht="14.25">
      <c r="B92" s="20"/>
      <c r="D92" s="19"/>
      <c r="E92" s="165"/>
      <c r="F92" s="165"/>
      <c r="G92" s="163"/>
    </row>
    <row r="93" spans="2:7" ht="15" thickBot="1">
      <c r="B93" s="20"/>
      <c r="D93" s="156">
        <v>18799989</v>
      </c>
      <c r="E93" s="166"/>
      <c r="F93" s="165"/>
      <c r="G93" s="163"/>
    </row>
    <row r="94" spans="2:4" ht="15" thickTop="1">
      <c r="B94" s="147"/>
      <c r="C94"/>
      <c r="D94"/>
    </row>
  </sheetData>
  <sheetProtection/>
  <mergeCells count="1">
    <mergeCell ref="F79:G79"/>
  </mergeCells>
  <printOptions/>
  <pageMargins left="0.7" right="0.7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79"/>
  <sheetViews>
    <sheetView zoomScalePageLayoutView="0" workbookViewId="0" topLeftCell="A43">
      <selection activeCell="G27" sqref="G27"/>
    </sheetView>
  </sheetViews>
  <sheetFormatPr defaultColWidth="9.140625" defaultRowHeight="12.75"/>
  <cols>
    <col min="1" max="1" width="10.140625" style="0" customWidth="1"/>
    <col min="2" max="2" width="60.140625" style="0" customWidth="1"/>
    <col min="3" max="3" width="5.7109375" style="0" customWidth="1"/>
    <col min="4" max="4" width="6.8515625" style="0" customWidth="1"/>
    <col min="5" max="5" width="28.8515625" style="0" hidden="1" customWidth="1"/>
    <col min="6" max="6" width="4.421875" style="0" customWidth="1"/>
    <col min="7" max="7" width="26.00390625" style="244" customWidth="1"/>
    <col min="8" max="8" width="3.8515625" style="0" customWidth="1"/>
    <col min="9" max="9" width="24.421875" style="0" customWidth="1"/>
    <col min="10" max="10" width="27.421875" style="0" hidden="1" customWidth="1"/>
    <col min="11" max="11" width="10.140625" style="0" customWidth="1"/>
    <col min="13" max="13" width="13.421875" style="0" customWidth="1"/>
  </cols>
  <sheetData>
    <row r="1" ht="20.25">
      <c r="B1" s="6" t="str">
        <f>+'Income statement'!B1</f>
        <v>HANDAL RESOURCES  BERHAD (816839-X)</v>
      </c>
    </row>
    <row r="3" spans="2:7" s="51" customFormat="1" ht="15">
      <c r="B3" s="16" t="s">
        <v>87</v>
      </c>
      <c r="G3" s="230"/>
    </row>
    <row r="4" spans="2:10" s="51" customFormat="1" ht="15" customHeight="1">
      <c r="B4" s="16" t="s">
        <v>281</v>
      </c>
      <c r="E4" s="39"/>
      <c r="F4" s="39"/>
      <c r="G4" s="245"/>
      <c r="H4" s="39"/>
      <c r="I4" s="39"/>
      <c r="J4" s="39"/>
    </row>
    <row r="5" spans="2:10" s="51" customFormat="1" ht="15" customHeight="1">
      <c r="B5" s="16"/>
      <c r="E5" s="252" t="s">
        <v>208</v>
      </c>
      <c r="F5" s="56"/>
      <c r="G5" s="252" t="s">
        <v>282</v>
      </c>
      <c r="I5" s="252" t="s">
        <v>283</v>
      </c>
      <c r="J5" s="252" t="s">
        <v>209</v>
      </c>
    </row>
    <row r="6" spans="2:10" s="51" customFormat="1" ht="15" customHeight="1">
      <c r="B6" s="16"/>
      <c r="E6" s="252"/>
      <c r="F6" s="56"/>
      <c r="G6" s="252"/>
      <c r="I6" s="266"/>
      <c r="J6" s="266"/>
    </row>
    <row r="7" spans="2:10" s="51" customFormat="1" ht="15" customHeight="1">
      <c r="B7" s="16"/>
      <c r="E7" s="252"/>
      <c r="F7" s="56"/>
      <c r="G7" s="252"/>
      <c r="I7" s="266"/>
      <c r="J7" s="266"/>
    </row>
    <row r="8" spans="2:10" s="51" customFormat="1" ht="45" customHeight="1">
      <c r="B8" s="16"/>
      <c r="E8" s="252"/>
      <c r="F8" s="56"/>
      <c r="G8" s="252"/>
      <c r="I8" s="266"/>
      <c r="J8" s="266"/>
    </row>
    <row r="9" spans="2:10" s="51" customFormat="1" ht="15" customHeight="1">
      <c r="B9" s="16"/>
      <c r="E9" s="58" t="s">
        <v>3</v>
      </c>
      <c r="F9" s="58"/>
      <c r="G9" s="189" t="s">
        <v>3</v>
      </c>
      <c r="I9" s="185" t="s">
        <v>3</v>
      </c>
      <c r="J9" s="58" t="s">
        <v>3</v>
      </c>
    </row>
    <row r="10" spans="2:10" s="51" customFormat="1" ht="15" customHeight="1">
      <c r="B10" s="16"/>
      <c r="E10" s="16"/>
      <c r="F10" s="16"/>
      <c r="G10" s="246"/>
      <c r="H10" s="16"/>
      <c r="I10" s="16"/>
      <c r="J10" s="17"/>
    </row>
    <row r="11" spans="2:10" s="51" customFormat="1" ht="12.75" customHeight="1">
      <c r="B11" s="15" t="s">
        <v>63</v>
      </c>
      <c r="C11" s="15"/>
      <c r="D11" s="15"/>
      <c r="E11" s="15"/>
      <c r="F11" s="15"/>
      <c r="G11" s="226"/>
      <c r="H11" s="15"/>
      <c r="I11" s="15"/>
      <c r="J11" s="19"/>
    </row>
    <row r="12" spans="2:11" s="51" customFormat="1" ht="14.25">
      <c r="B12" s="20" t="s">
        <v>2</v>
      </c>
      <c r="C12" s="19"/>
      <c r="D12" s="19"/>
      <c r="E12" s="21">
        <f>'[4]cashflow.'!$U$8</f>
        <v>2912</v>
      </c>
      <c r="F12" s="21"/>
      <c r="G12" s="232">
        <f>'[10]Cashflow1213'!$C$6</f>
        <v>6472.912758239135</v>
      </c>
      <c r="H12" s="21"/>
      <c r="I12" s="21">
        <v>4164</v>
      </c>
      <c r="J12" s="21">
        <f>'CF12.09'!D12/1000</f>
        <v>13768.765</v>
      </c>
      <c r="K12" s="181"/>
    </row>
    <row r="13" spans="2:11" s="51" customFormat="1" ht="14.25">
      <c r="B13" s="20"/>
      <c r="C13" s="19"/>
      <c r="D13" s="19"/>
      <c r="E13" s="21"/>
      <c r="F13" s="21"/>
      <c r="G13" s="232"/>
      <c r="H13" s="21"/>
      <c r="I13" s="21"/>
      <c r="J13" s="21"/>
      <c r="K13" s="181"/>
    </row>
    <row r="14" spans="2:11" s="51" customFormat="1" ht="15" thickBot="1">
      <c r="B14" s="195" t="s">
        <v>111</v>
      </c>
      <c r="C14" s="19"/>
      <c r="D14" s="19"/>
      <c r="E14" s="21" t="e">
        <f>'[4]cashflow.'!$V$17</f>
        <v>#REF!</v>
      </c>
      <c r="F14" s="21"/>
      <c r="G14" s="232">
        <f>'[10]Cashflow1213'!$J$18+5-5399-3-19</f>
        <v>218.25628381361003</v>
      </c>
      <c r="H14" s="21"/>
      <c r="I14" s="22">
        <v>2498</v>
      </c>
      <c r="J14" s="22">
        <f>'CF12.09'!E22/1000</f>
        <v>914.288</v>
      </c>
      <c r="K14" s="181"/>
    </row>
    <row r="15" spans="2:11" s="51" customFormat="1" ht="14.25">
      <c r="B15" s="196"/>
      <c r="C15" s="19"/>
      <c r="D15" s="19"/>
      <c r="E15" s="23"/>
      <c r="F15" s="28"/>
      <c r="G15" s="247"/>
      <c r="H15" s="28"/>
      <c r="I15" s="28"/>
      <c r="J15" s="21"/>
      <c r="K15" s="181"/>
    </row>
    <row r="16" spans="2:11" s="51" customFormat="1" ht="15.75" customHeight="1">
      <c r="B16" s="195" t="s">
        <v>8</v>
      </c>
      <c r="C16" s="19"/>
      <c r="D16" s="19"/>
      <c r="E16" s="49">
        <f>'[4]cashflow.'!$U$21</f>
        <v>3906</v>
      </c>
      <c r="F16" s="49"/>
      <c r="G16" s="234">
        <f>SUM(G12:G14)</f>
        <v>6691.169042052745</v>
      </c>
      <c r="H16" s="21"/>
      <c r="I16" s="49">
        <f>SUM(I12:I14)</f>
        <v>6662</v>
      </c>
      <c r="J16" s="49">
        <f>'CF12.09'!D24/1000</f>
        <v>14683.053</v>
      </c>
      <c r="K16" s="181"/>
    </row>
    <row r="17" spans="2:15" s="51" customFormat="1" ht="14.25">
      <c r="B17" s="197"/>
      <c r="C17" s="24"/>
      <c r="D17" s="24"/>
      <c r="E17" s="21"/>
      <c r="F17" s="21"/>
      <c r="G17" s="227"/>
      <c r="H17" s="21"/>
      <c r="I17" s="21"/>
      <c r="J17" s="21"/>
      <c r="K17" s="192"/>
      <c r="L17" s="19"/>
      <c r="M17" s="19"/>
      <c r="N17" s="19"/>
      <c r="O17" s="19"/>
    </row>
    <row r="18" spans="2:12" s="51" customFormat="1" ht="14.25" customHeight="1" hidden="1">
      <c r="B18" s="41" t="s">
        <v>88</v>
      </c>
      <c r="C18" s="24"/>
      <c r="D18" s="24"/>
      <c r="E18" s="21">
        <f>'[1]cashflow.'!D22</f>
        <v>0</v>
      </c>
      <c r="F18" s="21"/>
      <c r="G18" s="227" t="e">
        <f>'[1]cashflow.'!F22</f>
        <v>#REF!</v>
      </c>
      <c r="H18" s="21"/>
      <c r="I18" s="21"/>
      <c r="J18" s="21" t="s">
        <v>24</v>
      </c>
      <c r="K18" s="192"/>
      <c r="L18" s="19"/>
    </row>
    <row r="19" spans="2:12" s="51" customFormat="1" ht="14.25" customHeight="1">
      <c r="B19" s="41" t="s">
        <v>228</v>
      </c>
      <c r="C19" s="24"/>
      <c r="D19" s="24"/>
      <c r="E19" s="21">
        <f>'[4]cashflow.'!$U$23</f>
        <v>312.60903000000053</v>
      </c>
      <c r="F19" s="21"/>
      <c r="G19" s="232">
        <f>'[10]Cashflow1213'!$C$20</f>
        <v>-1209</v>
      </c>
      <c r="H19" s="21"/>
      <c r="I19" s="21">
        <v>-2647</v>
      </c>
      <c r="J19" s="21">
        <f>'CF12.09'!D26/1000</f>
        <v>1005.378</v>
      </c>
      <c r="K19" s="192"/>
      <c r="L19" s="19"/>
    </row>
    <row r="20" spans="2:12" s="51" customFormat="1" ht="14.25" customHeight="1">
      <c r="B20" s="41" t="s">
        <v>229</v>
      </c>
      <c r="C20" s="24"/>
      <c r="D20" s="24"/>
      <c r="E20" s="21">
        <f>'[4]cashflow.'!$U$24</f>
        <v>-1741.777379999996</v>
      </c>
      <c r="F20" s="21"/>
      <c r="G20" s="232">
        <f>'[10]Cashflow1213'!$C$21+1633</f>
        <v>-6132.66999</v>
      </c>
      <c r="H20" s="21"/>
      <c r="I20" s="21">
        <v>-4497</v>
      </c>
      <c r="J20" s="21">
        <f>'CF12.09'!D27/1000</f>
        <v>2638.376</v>
      </c>
      <c r="K20" s="192"/>
      <c r="L20" s="19"/>
    </row>
    <row r="21" spans="2:12" s="51" customFormat="1" ht="14.25" customHeight="1">
      <c r="B21" s="41" t="s">
        <v>234</v>
      </c>
      <c r="C21" s="24"/>
      <c r="D21" s="24"/>
      <c r="E21" s="21">
        <f>'[4]cashflow.'!$U$25</f>
        <v>-1991.7909599999984</v>
      </c>
      <c r="F21" s="21"/>
      <c r="G21" s="232">
        <f>'[10]Cashflow1213'!$C$22-1294</f>
        <v>-7634.028570248102</v>
      </c>
      <c r="H21" s="21"/>
      <c r="I21" s="21">
        <v>294</v>
      </c>
      <c r="J21" s="21">
        <f>'CF12.09'!D28/1000</f>
        <v>-3186.2</v>
      </c>
      <c r="K21" s="192"/>
      <c r="L21" s="19"/>
    </row>
    <row r="22" spans="2:12" s="51" customFormat="1" ht="14.25" customHeight="1">
      <c r="B22" s="196" t="s">
        <v>230</v>
      </c>
      <c r="C22" s="24"/>
      <c r="D22" s="24"/>
      <c r="E22" s="21">
        <f>'[4]cashflow.'!$U$26</f>
        <v>770.346</v>
      </c>
      <c r="F22" s="21"/>
      <c r="G22" s="232">
        <f>'[10]Cashflow1213'!$C$23-2583</f>
        <v>5855</v>
      </c>
      <c r="H22" s="21"/>
      <c r="I22" s="21">
        <v>2852</v>
      </c>
      <c r="J22" s="21">
        <f>'CF12.09'!D29/1000</f>
        <v>-1774.921</v>
      </c>
      <c r="K22" s="192"/>
      <c r="L22" s="19"/>
    </row>
    <row r="23" spans="2:12" s="51" customFormat="1" ht="14.25" customHeight="1">
      <c r="B23" s="41" t="s">
        <v>231</v>
      </c>
      <c r="C23" s="20"/>
      <c r="D23" s="20"/>
      <c r="E23" s="21">
        <f>'[4]cashflow.'!$U$27</f>
        <v>8.91215000000011</v>
      </c>
      <c r="F23" s="21"/>
      <c r="G23" s="232">
        <v>1281</v>
      </c>
      <c r="H23" s="21"/>
      <c r="I23" s="21">
        <v>433</v>
      </c>
      <c r="J23" s="21">
        <f>'CF12.09'!D30/1000</f>
        <v>1373.389</v>
      </c>
      <c r="K23" s="192"/>
      <c r="L23" s="19"/>
    </row>
    <row r="24" spans="2:12" s="51" customFormat="1" ht="14.25" customHeight="1">
      <c r="B24" s="41" t="s">
        <v>235</v>
      </c>
      <c r="C24" s="20"/>
      <c r="D24" s="20"/>
      <c r="E24" s="21">
        <f>'[4]cashflow.'!$U$28</f>
        <v>-230.72018999999818</v>
      </c>
      <c r="F24" s="21"/>
      <c r="G24" s="232">
        <f>'[10]Cashflow1213'!$C$24-601</f>
        <v>4218.133650000001</v>
      </c>
      <c r="H24" s="21"/>
      <c r="I24" s="21">
        <v>1526</v>
      </c>
      <c r="J24" s="21">
        <f>'CF12.09'!D31/1000</f>
        <v>189.777</v>
      </c>
      <c r="K24" s="192"/>
      <c r="L24" s="19"/>
    </row>
    <row r="25" spans="2:12" s="51" customFormat="1" ht="14.25" customHeight="1">
      <c r="B25" s="196" t="s">
        <v>233</v>
      </c>
      <c r="C25" s="20"/>
      <c r="D25" s="20"/>
      <c r="E25" s="21"/>
      <c r="F25" s="21"/>
      <c r="G25" s="232">
        <v>2583</v>
      </c>
      <c r="H25" s="21"/>
      <c r="I25" s="21">
        <v>-151</v>
      </c>
      <c r="J25" s="21"/>
      <c r="K25" s="192"/>
      <c r="L25" s="19"/>
    </row>
    <row r="26" spans="2:12" s="51" customFormat="1" ht="15" thickBot="1">
      <c r="B26" s="40" t="s">
        <v>236</v>
      </c>
      <c r="C26" s="20"/>
      <c r="D26" s="20"/>
      <c r="E26" s="22">
        <f>'[4]cashflow.'!$U$29</f>
        <v>-780.1700500000002</v>
      </c>
      <c r="F26" s="28"/>
      <c r="G26" s="235">
        <v>-1000</v>
      </c>
      <c r="H26" s="28"/>
      <c r="I26" s="22">
        <v>-7576</v>
      </c>
      <c r="J26" s="22">
        <f>'CF12.09'!D32/1000</f>
        <v>-271.731</v>
      </c>
      <c r="K26" s="192"/>
      <c r="L26" s="19"/>
    </row>
    <row r="27" spans="2:12" s="51" customFormat="1" ht="14.25">
      <c r="B27" s="197"/>
      <c r="C27" s="24"/>
      <c r="D27" s="24"/>
      <c r="E27" s="21"/>
      <c r="F27" s="21"/>
      <c r="G27" s="232"/>
      <c r="H27" s="21"/>
      <c r="I27" s="21"/>
      <c r="J27" s="21"/>
      <c r="K27" s="192"/>
      <c r="L27" s="19"/>
    </row>
    <row r="28" spans="2:12" s="51" customFormat="1" ht="14.25" customHeight="1">
      <c r="B28" s="195" t="s">
        <v>105</v>
      </c>
      <c r="C28" s="20"/>
      <c r="D28" s="20"/>
      <c r="E28" s="49">
        <f>'[4]cashflow.'!$U$32</f>
        <v>254.40860000000794</v>
      </c>
      <c r="F28" s="49"/>
      <c r="G28" s="234">
        <f>SUM(G19:G27)+G16</f>
        <v>4652.604131804642</v>
      </c>
      <c r="H28" s="21"/>
      <c r="I28" s="49">
        <f>SUM(I16:I26)</f>
        <v>-3104</v>
      </c>
      <c r="J28" s="49">
        <f>'CF12.09'!D34/1000</f>
        <v>14657.121</v>
      </c>
      <c r="K28" s="192"/>
      <c r="L28" s="19"/>
    </row>
    <row r="29" spans="2:12" s="51" customFormat="1" ht="14.25" customHeight="1">
      <c r="B29" s="195"/>
      <c r="C29" s="20"/>
      <c r="D29" s="20"/>
      <c r="E29" s="49"/>
      <c r="F29" s="49"/>
      <c r="G29" s="228"/>
      <c r="H29" s="21"/>
      <c r="I29" s="49"/>
      <c r="J29" s="49"/>
      <c r="K29" s="192"/>
      <c r="L29" s="19"/>
    </row>
    <row r="30" spans="2:12" s="51" customFormat="1" ht="14.25" customHeight="1">
      <c r="B30" s="45" t="s">
        <v>9</v>
      </c>
      <c r="C30" s="18"/>
      <c r="D30" s="18"/>
      <c r="E30" s="21">
        <f>'[4]cashflow.'!$R$34</f>
        <v>-43</v>
      </c>
      <c r="F30" s="21"/>
      <c r="G30" s="232">
        <f>'[10]Cashflow1213'!$C$27</f>
        <v>-112.77533</v>
      </c>
      <c r="H30" s="21"/>
      <c r="I30" s="21">
        <v>-326</v>
      </c>
      <c r="J30" s="21">
        <f>'CF12.09'!D36/1000</f>
        <v>-134.101</v>
      </c>
      <c r="K30" s="192"/>
      <c r="L30" s="19"/>
    </row>
    <row r="31" spans="2:12" s="51" customFormat="1" ht="14.25">
      <c r="B31" s="45" t="s">
        <v>70</v>
      </c>
      <c r="C31" s="18"/>
      <c r="D31" s="18"/>
      <c r="E31" s="21">
        <f>'[4]cashflow.'!$R$35</f>
        <v>-832</v>
      </c>
      <c r="F31" s="21"/>
      <c r="G31" s="232">
        <f>'[10]Cashflow1213'!$C$29</f>
        <v>-1695.7215</v>
      </c>
      <c r="H31" s="28"/>
      <c r="I31" s="28">
        <v>-2082</v>
      </c>
      <c r="J31" s="21">
        <f>'CF12.09'!D37/1000</f>
        <v>-3491.456</v>
      </c>
      <c r="K31" s="192"/>
      <c r="L31" s="19"/>
    </row>
    <row r="32" spans="2:12" s="51" customFormat="1" ht="15" thickBot="1">
      <c r="B32" s="45"/>
      <c r="C32" s="18"/>
      <c r="D32" s="18"/>
      <c r="E32" s="22"/>
      <c r="F32" s="28"/>
      <c r="G32" s="235"/>
      <c r="H32" s="21"/>
      <c r="I32" s="22"/>
      <c r="J32" s="22"/>
      <c r="K32" s="192"/>
      <c r="L32" s="19"/>
    </row>
    <row r="33" spans="2:12" s="51" customFormat="1" ht="15.75" thickBot="1">
      <c r="B33" s="198" t="s">
        <v>44</v>
      </c>
      <c r="C33" s="18"/>
      <c r="D33" s="18"/>
      <c r="E33" s="50">
        <f>'[4]cashflow.'!$U$37</f>
        <v>-620.5913999999921</v>
      </c>
      <c r="F33" s="112"/>
      <c r="G33" s="236">
        <f>SUM(G28:G32)</f>
        <v>2844.1073018046413</v>
      </c>
      <c r="H33" s="28"/>
      <c r="I33" s="50">
        <f>SUM(I28:I32)</f>
        <v>-5512</v>
      </c>
      <c r="J33" s="157">
        <f>'CF12.09'!D39/1000</f>
        <v>11031.564</v>
      </c>
      <c r="K33" s="192"/>
      <c r="L33" s="19"/>
    </row>
    <row r="34" spans="2:12" s="51" customFormat="1" ht="14.25">
      <c r="B34" s="45"/>
      <c r="C34" s="18"/>
      <c r="D34" s="18"/>
      <c r="E34" s="102"/>
      <c r="F34" s="102"/>
      <c r="G34" s="229"/>
      <c r="H34" s="102"/>
      <c r="I34" s="102"/>
      <c r="J34" s="102"/>
      <c r="K34" s="192"/>
      <c r="L34" s="19"/>
    </row>
    <row r="35" spans="2:12" s="51" customFormat="1" ht="14.25">
      <c r="B35" s="45"/>
      <c r="C35" s="19"/>
      <c r="D35" s="19"/>
      <c r="E35" s="21"/>
      <c r="F35" s="21"/>
      <c r="G35" s="227"/>
      <c r="H35" s="21"/>
      <c r="I35" s="21"/>
      <c r="J35" s="21"/>
      <c r="K35" s="192"/>
      <c r="L35" s="19"/>
    </row>
    <row r="36" spans="2:12" s="51" customFormat="1" ht="15" customHeight="1">
      <c r="B36" s="198" t="s">
        <v>71</v>
      </c>
      <c r="C36" s="25"/>
      <c r="D36" s="25"/>
      <c r="E36" s="21"/>
      <c r="F36" s="21"/>
      <c r="G36" s="227"/>
      <c r="H36" s="21"/>
      <c r="I36" s="21"/>
      <c r="J36" s="21"/>
      <c r="K36" s="193"/>
      <c r="L36" s="19"/>
    </row>
    <row r="37" spans="2:12" s="51" customFormat="1" ht="14.25">
      <c r="B37" s="42" t="s">
        <v>72</v>
      </c>
      <c r="C37" s="18"/>
      <c r="D37" s="18"/>
      <c r="E37" s="21">
        <f>'[4]cashflow.'!$U$41+'[4]cashflow.'!$U$42</f>
        <v>146</v>
      </c>
      <c r="F37" s="21"/>
      <c r="G37" s="232">
        <f>'[10]Cashflow1213'!$C$36+214</f>
        <v>339.73703</v>
      </c>
      <c r="H37" s="21"/>
      <c r="I37" s="21">
        <v>1262</v>
      </c>
      <c r="J37" s="21">
        <f>'CF12.09'!D45/1000+'CF12.09'!D44/1000</f>
        <v>419.404</v>
      </c>
      <c r="K37" s="192"/>
      <c r="L37" s="19"/>
    </row>
    <row r="38" spans="2:12" s="51" customFormat="1" ht="14.25">
      <c r="B38" s="42" t="s">
        <v>273</v>
      </c>
      <c r="C38" s="19"/>
      <c r="D38" s="19"/>
      <c r="E38" s="21">
        <v>0</v>
      </c>
      <c r="F38" s="21"/>
      <c r="G38" s="232">
        <f>'[10]Cashflow1213'!$C$37</f>
        <v>754.8952700000009</v>
      </c>
      <c r="H38" s="21"/>
      <c r="I38" s="21">
        <v>-2330</v>
      </c>
      <c r="J38" s="21">
        <f>'CF12.09'!D46/1000</f>
        <v>-500.682</v>
      </c>
      <c r="K38" s="192"/>
      <c r="L38" s="19"/>
    </row>
    <row r="39" spans="2:12" s="51" customFormat="1" ht="14.25">
      <c r="B39" s="45" t="s">
        <v>73</v>
      </c>
      <c r="C39" s="19"/>
      <c r="D39" s="19"/>
      <c r="E39" s="21">
        <f>'[4]cashflow.'!$U$45</f>
        <v>-1142</v>
      </c>
      <c r="F39" s="21"/>
      <c r="G39" s="232">
        <f>'[10]Cashflow1213'!$C$38-1</f>
        <v>-6377.242039999999</v>
      </c>
      <c r="H39" s="21"/>
      <c r="I39" s="21">
        <f>-14171-1</f>
        <v>-14172</v>
      </c>
      <c r="J39" s="21">
        <f>'CF12.09'!D47/1000</f>
        <v>-11636.454</v>
      </c>
      <c r="K39" s="192"/>
      <c r="L39" s="19"/>
    </row>
    <row r="40" spans="2:12" s="51" customFormat="1" ht="14.25">
      <c r="B40" s="45" t="s">
        <v>270</v>
      </c>
      <c r="C40" s="19"/>
      <c r="D40" s="19"/>
      <c r="E40" s="21"/>
      <c r="F40" s="21"/>
      <c r="G40" s="227">
        <f>'[8]Cashflow0913'!$C$40</f>
        <v>0</v>
      </c>
      <c r="H40" s="21"/>
      <c r="I40" s="21">
        <v>64</v>
      </c>
      <c r="J40" s="21"/>
      <c r="K40" s="192"/>
      <c r="L40" s="19"/>
    </row>
    <row r="41" spans="2:12" s="51" customFormat="1" ht="14.25" hidden="1">
      <c r="B41" s="45" t="s">
        <v>271</v>
      </c>
      <c r="C41" s="19"/>
      <c r="D41" s="19"/>
      <c r="E41" s="21"/>
      <c r="F41" s="21"/>
      <c r="G41" s="227">
        <v>0</v>
      </c>
      <c r="H41" s="21"/>
      <c r="I41" s="21">
        <v>0</v>
      </c>
      <c r="J41" s="21"/>
      <c r="K41" s="192"/>
      <c r="L41" s="19"/>
    </row>
    <row r="42" spans="2:12" s="51" customFormat="1" ht="14.25" hidden="1">
      <c r="B42" s="219" t="s">
        <v>259</v>
      </c>
      <c r="C42" s="19"/>
      <c r="D42" s="19"/>
      <c r="E42" s="21"/>
      <c r="F42" s="21"/>
      <c r="G42" s="232">
        <f>'[10]Cashflow1213'!$C$34+'[10]Cashflow1213'!$C$35+6-214</f>
        <v>-0.30360999999999194</v>
      </c>
      <c r="H42" s="21"/>
      <c r="I42" s="21">
        <v>0</v>
      </c>
      <c r="J42" s="21"/>
      <c r="K42" s="192"/>
      <c r="L42" s="19"/>
    </row>
    <row r="43" spans="2:12" s="51" customFormat="1" ht="15" thickBot="1">
      <c r="B43" s="45"/>
      <c r="C43" s="19"/>
      <c r="D43" s="19"/>
      <c r="E43" s="22"/>
      <c r="F43" s="28"/>
      <c r="G43" s="248"/>
      <c r="H43" s="28"/>
      <c r="I43" s="22"/>
      <c r="J43" s="22"/>
      <c r="K43" s="192"/>
      <c r="L43" s="19"/>
    </row>
    <row r="44" spans="2:13" s="51" customFormat="1" ht="15.75" thickBot="1">
      <c r="B44" s="45" t="s">
        <v>131</v>
      </c>
      <c r="C44" s="18"/>
      <c r="D44" s="18"/>
      <c r="E44" s="50">
        <f>'[4]cashflow.'!$U$48</f>
        <v>-996</v>
      </c>
      <c r="F44" s="112"/>
      <c r="G44" s="236">
        <f>SUM(G37:G43)+1</f>
        <v>-5281.913349999998</v>
      </c>
      <c r="H44" s="28"/>
      <c r="I44" s="50">
        <f>SUM(I37:I43)</f>
        <v>-15176</v>
      </c>
      <c r="J44" s="50">
        <f>'CF12.09'!D49/1000</f>
        <v>3761.747</v>
      </c>
      <c r="K44" s="211"/>
      <c r="L44" s="19"/>
      <c r="M44" s="103"/>
    </row>
    <row r="45" spans="2:12" s="51" customFormat="1" ht="14.25">
      <c r="B45" s="197"/>
      <c r="C45" s="19"/>
      <c r="D45" s="19"/>
      <c r="E45" s="21"/>
      <c r="F45" s="21"/>
      <c r="G45" s="227"/>
      <c r="H45" s="21"/>
      <c r="I45" s="21"/>
      <c r="J45" s="21"/>
      <c r="K45" s="192"/>
      <c r="L45" s="19"/>
    </row>
    <row r="46" spans="2:12" s="51" customFormat="1" ht="15" customHeight="1">
      <c r="B46" s="198" t="s">
        <v>75</v>
      </c>
      <c r="C46" s="25"/>
      <c r="D46" s="25"/>
      <c r="E46" s="21"/>
      <c r="F46" s="21"/>
      <c r="G46" s="227"/>
      <c r="H46" s="21"/>
      <c r="I46" s="21"/>
      <c r="J46" s="21"/>
      <c r="K46" s="194"/>
      <c r="L46" s="18"/>
    </row>
    <row r="47" spans="2:12" s="51" customFormat="1" ht="14.25" customHeight="1" hidden="1">
      <c r="B47" s="196" t="s">
        <v>187</v>
      </c>
      <c r="C47" s="18"/>
      <c r="D47" s="18"/>
      <c r="E47" s="21">
        <v>0</v>
      </c>
      <c r="F47" s="21"/>
      <c r="G47" s="227">
        <v>0</v>
      </c>
      <c r="H47" s="21"/>
      <c r="I47" s="21">
        <v>0</v>
      </c>
      <c r="J47" s="21">
        <f>'CF12.09'!D53/1000</f>
        <v>13320</v>
      </c>
      <c r="K47" s="192"/>
      <c r="L47" s="19"/>
    </row>
    <row r="48" spans="2:12" s="51" customFormat="1" ht="14.25" customHeight="1" hidden="1">
      <c r="B48" s="196" t="s">
        <v>188</v>
      </c>
      <c r="C48" s="18"/>
      <c r="D48" s="18"/>
      <c r="E48" s="21">
        <f>'[4]cashflow.'!$U$55</f>
        <v>-161.806</v>
      </c>
      <c r="F48" s="21"/>
      <c r="G48" s="227">
        <v>0</v>
      </c>
      <c r="H48" s="21"/>
      <c r="I48" s="21">
        <v>0</v>
      </c>
      <c r="J48" s="21">
        <f>'CF12.09'!D54/1000</f>
        <v>1785.884</v>
      </c>
      <c r="K48" s="192"/>
      <c r="L48" s="19"/>
    </row>
    <row r="49" spans="2:12" s="51" customFormat="1" ht="14.25" customHeight="1">
      <c r="B49" s="196" t="s">
        <v>284</v>
      </c>
      <c r="C49" s="18"/>
      <c r="D49" s="18"/>
      <c r="E49" s="21">
        <f>'[4]cashflow.'!$U$53</f>
        <v>-15</v>
      </c>
      <c r="F49" s="21"/>
      <c r="G49" s="232">
        <f>'[10]Cashflow1213'!$C$47</f>
        <v>-2598.22467</v>
      </c>
      <c r="H49" s="21"/>
      <c r="I49" s="21">
        <v>-999</v>
      </c>
      <c r="J49" s="21">
        <f>'CF12.09'!D56/1000</f>
        <v>-26.016</v>
      </c>
      <c r="K49" s="192"/>
      <c r="L49" s="19"/>
    </row>
    <row r="50" spans="2:12" s="51" customFormat="1" ht="14.25" customHeight="1">
      <c r="B50" s="196" t="s">
        <v>77</v>
      </c>
      <c r="C50" s="18"/>
      <c r="D50" s="18"/>
      <c r="E50" s="21">
        <f>'[4]cashflow.'!$U$54</f>
        <v>-440</v>
      </c>
      <c r="F50" s="21"/>
      <c r="G50" s="232">
        <f>'[10]Cashflow1213'!$C$52</f>
        <v>-219.07</v>
      </c>
      <c r="H50" s="21"/>
      <c r="I50" s="21">
        <f>-44-20</f>
        <v>-64</v>
      </c>
      <c r="J50" s="21">
        <f>'CF12.09'!D57/1000</f>
        <v>-63.273</v>
      </c>
      <c r="K50" s="192"/>
      <c r="L50" s="19"/>
    </row>
    <row r="51" spans="2:12" s="51" customFormat="1" ht="14.25" customHeight="1">
      <c r="B51" s="196" t="s">
        <v>225</v>
      </c>
      <c r="C51" s="18"/>
      <c r="D51" s="18"/>
      <c r="E51" s="21">
        <f>'[4]cashflow.'!$U$51</f>
        <v>-1007.242</v>
      </c>
      <c r="F51" s="21"/>
      <c r="G51" s="232">
        <f>'[10]Cashflow1213'!$C$49</f>
        <v>713</v>
      </c>
      <c r="H51" s="28"/>
      <c r="I51" s="28">
        <v>1742</v>
      </c>
      <c r="J51" s="21">
        <f>'CF12.09'!D60/1000</f>
        <v>-2812.839</v>
      </c>
      <c r="K51" s="192"/>
      <c r="L51" s="19"/>
    </row>
    <row r="52" spans="2:12" s="51" customFormat="1" ht="14.25" customHeight="1">
      <c r="B52" s="196" t="s">
        <v>226</v>
      </c>
      <c r="C52" s="18"/>
      <c r="D52" s="18"/>
      <c r="E52" s="21"/>
      <c r="F52" s="21"/>
      <c r="G52" s="232">
        <f>'[10]Cashflow1213'!$C$51</f>
        <v>-6993</v>
      </c>
      <c r="H52" s="28"/>
      <c r="I52" s="28">
        <v>-251</v>
      </c>
      <c r="J52" s="21"/>
      <c r="K52" s="192"/>
      <c r="L52" s="19"/>
    </row>
    <row r="53" spans="2:12" s="51" customFormat="1" ht="14.25" customHeight="1">
      <c r="B53" s="196" t="s">
        <v>286</v>
      </c>
      <c r="C53" s="18"/>
      <c r="D53" s="18"/>
      <c r="E53" s="21"/>
      <c r="F53" s="21"/>
      <c r="G53" s="232">
        <v>5399</v>
      </c>
      <c r="H53" s="28"/>
      <c r="I53" s="28">
        <v>0</v>
      </c>
      <c r="J53" s="21"/>
      <c r="K53" s="192"/>
      <c r="L53" s="19"/>
    </row>
    <row r="54" spans="2:12" s="51" customFormat="1" ht="14.25" customHeight="1">
      <c r="B54" s="196" t="s">
        <v>285</v>
      </c>
      <c r="C54" s="18"/>
      <c r="D54" s="18"/>
      <c r="E54" s="21"/>
      <c r="F54" s="21"/>
      <c r="G54" s="232">
        <f>'[10]Cashflow1213'!$C$44</f>
        <v>103</v>
      </c>
      <c r="H54" s="28"/>
      <c r="I54" s="28">
        <v>-74</v>
      </c>
      <c r="J54" s="21"/>
      <c r="K54" s="192"/>
      <c r="L54" s="19"/>
    </row>
    <row r="55" spans="2:12" s="51" customFormat="1" ht="14.25" customHeight="1" thickBot="1">
      <c r="B55" s="221" t="s">
        <v>249</v>
      </c>
      <c r="C55" s="18"/>
      <c r="D55" s="18"/>
      <c r="E55" s="22"/>
      <c r="F55" s="28"/>
      <c r="G55" s="237">
        <f>'[10]Cashflow1213'!$C$46</f>
        <v>-1598</v>
      </c>
      <c r="H55" s="28"/>
      <c r="I55" s="28">
        <v>-1600</v>
      </c>
      <c r="J55" s="22"/>
      <c r="K55" s="192"/>
      <c r="L55" s="19"/>
    </row>
    <row r="56" spans="2:12" s="51" customFormat="1" ht="14.25" customHeight="1" thickBot="1">
      <c r="B56" s="221"/>
      <c r="C56" s="18"/>
      <c r="D56" s="18"/>
      <c r="E56" s="22"/>
      <c r="F56" s="28"/>
      <c r="G56" s="235"/>
      <c r="H56" s="28"/>
      <c r="I56" s="22"/>
      <c r="J56" s="22"/>
      <c r="K56" s="192"/>
      <c r="L56" s="19"/>
    </row>
    <row r="57" spans="3:12" s="51" customFormat="1" ht="18" customHeight="1" thickBot="1">
      <c r="C57" s="20"/>
      <c r="D57" s="20"/>
      <c r="E57" s="53">
        <f>'[4]cashflow.'!$U$63</f>
        <v>-1267.048</v>
      </c>
      <c r="F57" s="170"/>
      <c r="G57" s="238">
        <f>SUM(G47:G55)</f>
        <v>-5193.294669999999</v>
      </c>
      <c r="H57" s="28"/>
      <c r="I57" s="50">
        <f>SUM(I47:I55)</f>
        <v>-1246</v>
      </c>
      <c r="J57" s="50">
        <f>'CF12.09'!D63/1000</f>
        <v>4006.676</v>
      </c>
      <c r="K57" s="192"/>
      <c r="L57" s="19"/>
    </row>
    <row r="58" spans="2:12" s="51" customFormat="1" ht="14.25">
      <c r="B58" s="45"/>
      <c r="C58" s="18"/>
      <c r="D58" s="18"/>
      <c r="E58" s="102"/>
      <c r="F58" s="102"/>
      <c r="G58" s="239"/>
      <c r="H58" s="28"/>
      <c r="I58" s="28"/>
      <c r="J58" s="102"/>
      <c r="K58" s="192"/>
      <c r="L58" s="19"/>
    </row>
    <row r="59" spans="2:12" s="51" customFormat="1" ht="14.25" customHeight="1">
      <c r="B59" s="198" t="s">
        <v>140</v>
      </c>
      <c r="C59" s="18"/>
      <c r="D59" s="18"/>
      <c r="E59" s="21">
        <f>'[4]cashflow.'!$U$65</f>
        <v>-2883.639399999992</v>
      </c>
      <c r="F59" s="21"/>
      <c r="G59" s="232">
        <f>G33+G44+G57</f>
        <v>-7631.1007181953555</v>
      </c>
      <c r="H59" s="28"/>
      <c r="I59" s="28">
        <f>I33+I44+I57</f>
        <v>-21934</v>
      </c>
      <c r="J59" s="21">
        <f>'CF12.09'!D65/1000</f>
        <v>18799.987</v>
      </c>
      <c r="K59" s="28"/>
      <c r="L59" s="19"/>
    </row>
    <row r="60" spans="2:12" s="51" customFormat="1" ht="14.25" customHeight="1">
      <c r="B60" s="198"/>
      <c r="C60" s="18"/>
      <c r="D60" s="18"/>
      <c r="E60" s="21"/>
      <c r="F60" s="21"/>
      <c r="G60" s="227"/>
      <c r="H60" s="28"/>
      <c r="I60" s="28"/>
      <c r="J60" s="21"/>
      <c r="K60" s="28"/>
      <c r="L60" s="19"/>
    </row>
    <row r="61" spans="2:12" s="51" customFormat="1" ht="14.25">
      <c r="B61" s="196"/>
      <c r="C61" s="19"/>
      <c r="D61" s="19"/>
      <c r="E61" s="21"/>
      <c r="F61" s="21"/>
      <c r="G61" s="227"/>
      <c r="H61" s="28"/>
      <c r="I61" s="28"/>
      <c r="J61" s="21"/>
      <c r="K61" s="192"/>
      <c r="L61" s="19"/>
    </row>
    <row r="62" spans="2:12" s="51" customFormat="1" ht="14.25" customHeight="1" thickBot="1">
      <c r="B62" s="267" t="s">
        <v>100</v>
      </c>
      <c r="C62" s="20"/>
      <c r="D62" s="20"/>
      <c r="E62" s="22">
        <f>'[4]cashflow.'!$U$67</f>
        <v>18800</v>
      </c>
      <c r="F62" s="28"/>
      <c r="G62" s="235">
        <f>'[10]Cashflow1213'!$C$57</f>
        <v>11027.686000000003</v>
      </c>
      <c r="H62" s="28"/>
      <c r="I62" s="22">
        <v>32962</v>
      </c>
      <c r="J62" s="22">
        <f>'CF12.09'!D68/1000</f>
        <v>0.002</v>
      </c>
      <c r="K62" s="192"/>
      <c r="L62" s="19"/>
    </row>
    <row r="63" spans="2:12" s="51" customFormat="1" ht="14.25">
      <c r="B63" s="267"/>
      <c r="C63" s="20"/>
      <c r="D63" s="20"/>
      <c r="E63" s="102"/>
      <c r="F63" s="102"/>
      <c r="G63" s="239"/>
      <c r="H63" s="28"/>
      <c r="I63" s="28"/>
      <c r="J63" s="102"/>
      <c r="K63" s="192"/>
      <c r="L63" s="19"/>
    </row>
    <row r="64" spans="2:12" s="51" customFormat="1" ht="15.75" thickBot="1">
      <c r="B64" s="267" t="s">
        <v>132</v>
      </c>
      <c r="C64" s="20"/>
      <c r="D64" s="19"/>
      <c r="E64" s="111">
        <f>'[4]cashflow.'!$U$69</f>
        <v>15916.360600000007</v>
      </c>
      <c r="F64" s="112"/>
      <c r="G64" s="240">
        <f>SUM(G59:G62)</f>
        <v>3396.585281804648</v>
      </c>
      <c r="H64" s="112"/>
      <c r="I64" s="111">
        <f>SUM(I59:I62)</f>
        <v>11028</v>
      </c>
      <c r="J64" s="111">
        <f>'CF12.09'!D70/1000</f>
        <v>18799.989</v>
      </c>
      <c r="K64" s="192"/>
      <c r="L64" s="19"/>
    </row>
    <row r="65" spans="2:11" s="51" customFormat="1" ht="15" thickTop="1">
      <c r="B65" s="267"/>
      <c r="G65" s="230"/>
      <c r="H65" s="28"/>
      <c r="I65" s="28"/>
      <c r="K65" s="181"/>
    </row>
    <row r="66" spans="2:11" s="51" customFormat="1" ht="14.25">
      <c r="B66" s="12"/>
      <c r="G66" s="230"/>
      <c r="H66" s="28"/>
      <c r="I66" s="28"/>
      <c r="K66" s="181"/>
    </row>
    <row r="67" spans="2:11" s="51" customFormat="1" ht="14.25">
      <c r="B67" s="2" t="s">
        <v>96</v>
      </c>
      <c r="G67" s="230"/>
      <c r="H67" s="28"/>
      <c r="I67" s="28"/>
      <c r="K67" s="181"/>
    </row>
    <row r="68" spans="2:11" s="51" customFormat="1" ht="14.25">
      <c r="B68" s="12" t="s">
        <v>244</v>
      </c>
      <c r="E68" s="102">
        <f>'[4]cashflow.'!$N$75</f>
        <v>29350</v>
      </c>
      <c r="F68" s="102"/>
      <c r="G68" s="239">
        <f>'[10]Cashflow1213'!$C$62</f>
        <v>5660</v>
      </c>
      <c r="H68" s="28"/>
      <c r="I68" s="28">
        <v>22036</v>
      </c>
      <c r="J68" s="21">
        <f>'CF12.09'!D83/1000+'CF12.09'!D85/1000</f>
        <v>28249.176</v>
      </c>
      <c r="K68" s="181"/>
    </row>
    <row r="69" spans="2:11" s="51" customFormat="1" ht="14.25">
      <c r="B69" s="12" t="s">
        <v>82</v>
      </c>
      <c r="E69" s="102">
        <f>'[4]cashflow.'!$N$76</f>
        <v>3944</v>
      </c>
      <c r="F69" s="102"/>
      <c r="G69" s="239">
        <f>'[10]Cashflow1213'!$C$63</f>
        <v>18078</v>
      </c>
      <c r="H69" s="28"/>
      <c r="I69" s="28">
        <f>12178-1</f>
        <v>12177</v>
      </c>
      <c r="J69" s="21">
        <f>'CF12.09'!D86/1000</f>
        <v>3199.333</v>
      </c>
      <c r="K69" s="181"/>
    </row>
    <row r="70" spans="2:11" s="51" customFormat="1" ht="15" thickBot="1">
      <c r="B70" s="12" t="s">
        <v>83</v>
      </c>
      <c r="E70" s="122">
        <f>'[4]cashflow.'!$N$77</f>
        <v>-8541</v>
      </c>
      <c r="F70" s="171"/>
      <c r="G70" s="241">
        <f>'[10]Cashflow1213'!$C$66</f>
        <v>-6239</v>
      </c>
      <c r="H70" s="54"/>
      <c r="I70" s="180">
        <v>-8328</v>
      </c>
      <c r="J70" s="22">
        <f>'CF12.09'!D87/1000</f>
        <v>-3959.186</v>
      </c>
      <c r="K70" s="181"/>
    </row>
    <row r="71" spans="2:11" s="51" customFormat="1" ht="14.25">
      <c r="B71" s="12"/>
      <c r="E71" s="102">
        <f>'[4]cashflow.'!$N$78</f>
        <v>24753</v>
      </c>
      <c r="F71" s="102"/>
      <c r="G71" s="239">
        <f>SUM(G68:G70)</f>
        <v>17499</v>
      </c>
      <c r="I71" s="102">
        <f>SUM(I68:I70)</f>
        <v>25885</v>
      </c>
      <c r="J71" s="21">
        <f>'CF12.09'!D89/1000</f>
        <v>27489.323</v>
      </c>
      <c r="K71" s="181"/>
    </row>
    <row r="72" spans="2:11" s="51" customFormat="1" ht="14.25">
      <c r="B72" s="43" t="s">
        <v>135</v>
      </c>
      <c r="C72" s="104"/>
      <c r="E72" s="102">
        <f>'[4]cashflow.'!$N$79</f>
        <v>-8843</v>
      </c>
      <c r="F72" s="102"/>
      <c r="G72" s="239">
        <f>'[10]Cashflow1213'!$C$67</f>
        <v>-14102</v>
      </c>
      <c r="I72" s="181">
        <v>-14857</v>
      </c>
      <c r="J72" s="21">
        <f>'CF12.09'!D91/1000</f>
        <v>-8689.334</v>
      </c>
      <c r="K72" s="181"/>
    </row>
    <row r="73" spans="2:11" s="51" customFormat="1" ht="15.75" thickBot="1">
      <c r="B73" s="12"/>
      <c r="E73" s="113">
        <f>'[4]cashflow.'!$N$80</f>
        <v>15910</v>
      </c>
      <c r="F73" s="172"/>
      <c r="G73" s="242">
        <f>SUM(G71:G72)</f>
        <v>3397</v>
      </c>
      <c r="H73" s="112"/>
      <c r="I73" s="179">
        <f>SUM(I71:I72)</f>
        <v>11028</v>
      </c>
      <c r="J73" s="167">
        <f>'CF12.09'!D93/1000</f>
        <v>18799.989</v>
      </c>
      <c r="K73" s="181"/>
    </row>
    <row r="74" spans="7:11" s="51" customFormat="1" ht="15" thickTop="1">
      <c r="G74" s="249"/>
      <c r="H74" s="28"/>
      <c r="I74" s="28"/>
      <c r="K74" s="181"/>
    </row>
    <row r="75" spans="2:9" s="51" customFormat="1" ht="14.25" hidden="1">
      <c r="B75" s="51" t="s">
        <v>123</v>
      </c>
      <c r="E75" s="103"/>
      <c r="F75" s="103"/>
      <c r="G75" s="231"/>
      <c r="H75" s="28"/>
      <c r="I75" s="28"/>
    </row>
    <row r="76" s="51" customFormat="1" ht="12.75" customHeight="1">
      <c r="G76" s="230"/>
    </row>
    <row r="77" spans="2:7" s="51" customFormat="1" ht="16.5">
      <c r="B77" s="123" t="s">
        <v>220</v>
      </c>
      <c r="G77" s="230"/>
    </row>
    <row r="78" spans="2:7" s="51" customFormat="1" ht="16.5">
      <c r="B78" s="123" t="s">
        <v>257</v>
      </c>
      <c r="G78" s="230"/>
    </row>
    <row r="79" spans="2:7" s="51" customFormat="1" ht="16.5">
      <c r="B79" s="178" t="s">
        <v>99</v>
      </c>
      <c r="G79" s="230"/>
    </row>
  </sheetData>
  <sheetProtection/>
  <mergeCells count="6">
    <mergeCell ref="E5:E8"/>
    <mergeCell ref="G5:G8"/>
    <mergeCell ref="I5:I8"/>
    <mergeCell ref="J5:J8"/>
    <mergeCell ref="B62:B63"/>
    <mergeCell ref="B64:B65"/>
  </mergeCells>
  <printOptions/>
  <pageMargins left="0.18" right="0.11" top="0.12" bottom="0.13" header="0.12" footer="0.13"/>
  <pageSetup fitToHeight="1" fitToWidth="1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80"/>
  <sheetViews>
    <sheetView zoomScalePageLayoutView="0" workbookViewId="0" topLeftCell="A38">
      <selection activeCell="G61" sqref="G61"/>
    </sheetView>
  </sheetViews>
  <sheetFormatPr defaultColWidth="9.140625" defaultRowHeight="12.75"/>
  <cols>
    <col min="1" max="1" width="10.140625" style="0" customWidth="1"/>
    <col min="2" max="2" width="60.140625" style="0" customWidth="1"/>
    <col min="3" max="3" width="5.7109375" style="0" customWidth="1"/>
    <col min="4" max="4" width="6.8515625" style="0" customWidth="1"/>
    <col min="5" max="5" width="28.8515625" style="0" hidden="1" customWidth="1"/>
    <col min="6" max="6" width="4.421875" style="0" customWidth="1"/>
    <col min="7" max="7" width="26.00390625" style="222" customWidth="1"/>
    <col min="8" max="8" width="3.8515625" style="0" customWidth="1"/>
    <col min="9" max="9" width="24.421875" style="0" customWidth="1"/>
    <col min="10" max="10" width="27.421875" style="0" hidden="1" customWidth="1"/>
    <col min="11" max="11" width="10.140625" style="0" customWidth="1"/>
    <col min="13" max="13" width="13.421875" style="0" customWidth="1"/>
  </cols>
  <sheetData>
    <row r="1" ht="20.25">
      <c r="B1" s="6" t="str">
        <f>+'Income statement'!B1</f>
        <v>HANDAL RESOURCES  BERHAD (816839-X)</v>
      </c>
    </row>
    <row r="3" spans="2:7" s="51" customFormat="1" ht="15">
      <c r="B3" s="16" t="s">
        <v>87</v>
      </c>
      <c r="G3" s="187"/>
    </row>
    <row r="4" spans="2:10" s="51" customFormat="1" ht="15" customHeight="1">
      <c r="B4" s="16" t="s">
        <v>267</v>
      </c>
      <c r="E4" s="39"/>
      <c r="F4" s="39"/>
      <c r="G4" s="188"/>
      <c r="H4" s="39"/>
      <c r="I4" s="39"/>
      <c r="J4" s="39"/>
    </row>
    <row r="5" spans="2:10" s="51" customFormat="1" ht="15" customHeight="1">
      <c r="B5" s="16"/>
      <c r="E5" s="252" t="s">
        <v>208</v>
      </c>
      <c r="F5" s="56"/>
      <c r="G5" s="252" t="s">
        <v>268</v>
      </c>
      <c r="I5" s="252" t="s">
        <v>269</v>
      </c>
      <c r="J5" s="252" t="s">
        <v>209</v>
      </c>
    </row>
    <row r="6" spans="2:10" s="51" customFormat="1" ht="15" customHeight="1">
      <c r="B6" s="16"/>
      <c r="E6" s="252"/>
      <c r="F6" s="56"/>
      <c r="G6" s="252"/>
      <c r="I6" s="266"/>
      <c r="J6" s="266"/>
    </row>
    <row r="7" spans="2:10" s="51" customFormat="1" ht="15" customHeight="1">
      <c r="B7" s="16"/>
      <c r="E7" s="252"/>
      <c r="F7" s="56"/>
      <c r="G7" s="252"/>
      <c r="I7" s="266"/>
      <c r="J7" s="266"/>
    </row>
    <row r="8" spans="2:10" s="51" customFormat="1" ht="45" customHeight="1">
      <c r="B8" s="16"/>
      <c r="E8" s="252"/>
      <c r="F8" s="56"/>
      <c r="G8" s="252"/>
      <c r="I8" s="266"/>
      <c r="J8" s="266"/>
    </row>
    <row r="9" spans="2:10" s="51" customFormat="1" ht="15" customHeight="1">
      <c r="B9" s="16"/>
      <c r="E9" s="58" t="s">
        <v>3</v>
      </c>
      <c r="F9" s="58"/>
      <c r="G9" s="189" t="s">
        <v>3</v>
      </c>
      <c r="I9" s="185" t="s">
        <v>3</v>
      </c>
      <c r="J9" s="58" t="s">
        <v>3</v>
      </c>
    </row>
    <row r="10" spans="2:10" s="51" customFormat="1" ht="15" customHeight="1">
      <c r="B10" s="16"/>
      <c r="E10" s="16"/>
      <c r="F10" s="16"/>
      <c r="G10" s="190"/>
      <c r="H10" s="16"/>
      <c r="I10" s="16"/>
      <c r="J10" s="17"/>
    </row>
    <row r="11" spans="2:10" s="51" customFormat="1" ht="12.75" customHeight="1">
      <c r="B11" s="15" t="s">
        <v>63</v>
      </c>
      <c r="C11" s="15"/>
      <c r="D11" s="15"/>
      <c r="E11" s="15"/>
      <c r="F11" s="15"/>
      <c r="G11" s="226"/>
      <c r="H11" s="15"/>
      <c r="I11" s="15"/>
      <c r="J11" s="19"/>
    </row>
    <row r="12" spans="2:11" s="51" customFormat="1" ht="14.25">
      <c r="B12" s="20" t="s">
        <v>2</v>
      </c>
      <c r="C12" s="19"/>
      <c r="D12" s="19"/>
      <c r="E12" s="21">
        <f>'[4]cashflow.'!$U$8</f>
        <v>2912</v>
      </c>
      <c r="F12" s="21"/>
      <c r="G12" s="232">
        <f>'[6]Cashflow0613'!$C$6</f>
        <v>670.6215750020297</v>
      </c>
      <c r="H12" s="21"/>
      <c r="I12" s="21">
        <v>4617</v>
      </c>
      <c r="J12" s="21">
        <f>'CF12.09'!D12/1000</f>
        <v>13768.765</v>
      </c>
      <c r="K12" s="181"/>
    </row>
    <row r="13" spans="2:11" s="51" customFormat="1" ht="14.25">
      <c r="B13" s="20"/>
      <c r="C13" s="19"/>
      <c r="D13" s="19"/>
      <c r="E13" s="21"/>
      <c r="F13" s="21"/>
      <c r="G13" s="232"/>
      <c r="H13" s="21"/>
      <c r="I13" s="21"/>
      <c r="J13" s="21"/>
      <c r="K13" s="181"/>
    </row>
    <row r="14" spans="2:11" s="51" customFormat="1" ht="15" thickBot="1">
      <c r="B14" s="195" t="s">
        <v>111</v>
      </c>
      <c r="C14" s="19"/>
      <c r="D14" s="19"/>
      <c r="E14" s="21" t="e">
        <f>'[4]cashflow.'!$V$17</f>
        <v>#REF!</v>
      </c>
      <c r="F14" s="21"/>
      <c r="G14" s="232">
        <f>'[6]Cashflow0613'!$J$18+1</f>
        <v>1988.8980427333336</v>
      </c>
      <c r="H14" s="21"/>
      <c r="I14" s="22">
        <v>4217</v>
      </c>
      <c r="J14" s="22">
        <f>'CF12.09'!E22/1000</f>
        <v>914.288</v>
      </c>
      <c r="K14" s="181"/>
    </row>
    <row r="15" spans="2:11" s="51" customFormat="1" ht="14.25">
      <c r="B15" s="196"/>
      <c r="C15" s="19"/>
      <c r="D15" s="19"/>
      <c r="E15" s="23"/>
      <c r="F15" s="28"/>
      <c r="G15" s="233"/>
      <c r="H15" s="28"/>
      <c r="I15" s="28"/>
      <c r="J15" s="21"/>
      <c r="K15" s="181"/>
    </row>
    <row r="16" spans="2:11" s="51" customFormat="1" ht="15.75" customHeight="1">
      <c r="B16" s="195" t="s">
        <v>8</v>
      </c>
      <c r="C16" s="19"/>
      <c r="D16" s="19"/>
      <c r="E16" s="49">
        <f>'[4]cashflow.'!$U$21</f>
        <v>3906</v>
      </c>
      <c r="F16" s="49"/>
      <c r="G16" s="234">
        <f>SUM(G12:G14)</f>
        <v>2659.519617735363</v>
      </c>
      <c r="H16" s="21"/>
      <c r="I16" s="49">
        <f>SUM(I12:I14)</f>
        <v>8834</v>
      </c>
      <c r="J16" s="49">
        <f>'CF12.09'!D24/1000</f>
        <v>14683.053</v>
      </c>
      <c r="K16" s="181"/>
    </row>
    <row r="17" spans="2:15" s="51" customFormat="1" ht="14.25">
      <c r="B17" s="197"/>
      <c r="C17" s="24"/>
      <c r="D17" s="24"/>
      <c r="E17" s="21"/>
      <c r="F17" s="21"/>
      <c r="G17" s="232"/>
      <c r="H17" s="21"/>
      <c r="I17" s="21"/>
      <c r="J17" s="21"/>
      <c r="K17" s="192"/>
      <c r="L17" s="19"/>
      <c r="M17" s="19"/>
      <c r="N17" s="19"/>
      <c r="O17" s="19"/>
    </row>
    <row r="18" spans="2:12" s="51" customFormat="1" ht="14.25" customHeight="1" hidden="1">
      <c r="B18" s="41" t="s">
        <v>88</v>
      </c>
      <c r="C18" s="24"/>
      <c r="D18" s="24"/>
      <c r="E18" s="21">
        <f>'[1]cashflow.'!D22</f>
        <v>0</v>
      </c>
      <c r="F18" s="21"/>
      <c r="G18" s="232" t="e">
        <f>'[1]cashflow.'!F22</f>
        <v>#REF!</v>
      </c>
      <c r="H18" s="21"/>
      <c r="I18" s="21"/>
      <c r="J18" s="21" t="s">
        <v>24</v>
      </c>
      <c r="K18" s="192"/>
      <c r="L18" s="19"/>
    </row>
    <row r="19" spans="2:12" s="51" customFormat="1" ht="14.25" customHeight="1">
      <c r="B19" s="41" t="s">
        <v>228</v>
      </c>
      <c r="C19" s="24"/>
      <c r="D19" s="24"/>
      <c r="E19" s="21">
        <f>'[4]cashflow.'!$U$23</f>
        <v>312.60903000000053</v>
      </c>
      <c r="F19" s="21"/>
      <c r="G19" s="232">
        <f>'[6]Cashflow0613'!$C$20</f>
        <v>-499</v>
      </c>
      <c r="H19" s="21"/>
      <c r="I19" s="21">
        <v>-3194</v>
      </c>
      <c r="J19" s="21">
        <f>'CF12.09'!D26/1000</f>
        <v>1005.378</v>
      </c>
      <c r="K19" s="192"/>
      <c r="L19" s="19"/>
    </row>
    <row r="20" spans="2:12" s="51" customFormat="1" ht="14.25" customHeight="1">
      <c r="B20" s="41" t="s">
        <v>229</v>
      </c>
      <c r="C20" s="24"/>
      <c r="D20" s="24"/>
      <c r="E20" s="21">
        <f>'[4]cashflow.'!$U$24</f>
        <v>-1741.777379999996</v>
      </c>
      <c r="F20" s="21"/>
      <c r="G20" s="232">
        <f>'[6]Cashflow0613'!$C$21</f>
        <v>-6579</v>
      </c>
      <c r="H20" s="21"/>
      <c r="I20" s="21">
        <v>-2962</v>
      </c>
      <c r="J20" s="21">
        <f>'CF12.09'!D27/1000</f>
        <v>2638.376</v>
      </c>
      <c r="K20" s="192"/>
      <c r="L20" s="19"/>
    </row>
    <row r="21" spans="2:12" s="51" customFormat="1" ht="14.25" customHeight="1">
      <c r="B21" s="41" t="s">
        <v>234</v>
      </c>
      <c r="C21" s="24"/>
      <c r="D21" s="24"/>
      <c r="E21" s="21">
        <f>'[4]cashflow.'!$U$25</f>
        <v>-1991.7909599999984</v>
      </c>
      <c r="F21" s="21"/>
      <c r="G21" s="232">
        <f>'[6]Cashflow0613'!$C$22</f>
        <v>-244.1172085712019</v>
      </c>
      <c r="H21" s="21"/>
      <c r="I21" s="21">
        <v>5655</v>
      </c>
      <c r="J21" s="21">
        <f>'CF12.09'!D28/1000</f>
        <v>-3186.2</v>
      </c>
      <c r="K21" s="192"/>
      <c r="L21" s="19"/>
    </row>
    <row r="22" spans="2:12" s="51" customFormat="1" ht="14.25" customHeight="1">
      <c r="B22" s="196" t="s">
        <v>230</v>
      </c>
      <c r="C22" s="24"/>
      <c r="D22" s="24"/>
      <c r="E22" s="21">
        <f>'[4]cashflow.'!$U$26</f>
        <v>770.346</v>
      </c>
      <c r="F22" s="21"/>
      <c r="G22" s="232">
        <f>'[6]Cashflow0613'!$C$23</f>
        <v>4102</v>
      </c>
      <c r="H22" s="21"/>
      <c r="I22" s="21">
        <v>4957</v>
      </c>
      <c r="J22" s="21">
        <f>'CF12.09'!D29/1000</f>
        <v>-1774.921</v>
      </c>
      <c r="K22" s="192"/>
      <c r="L22" s="19"/>
    </row>
    <row r="23" spans="2:12" s="51" customFormat="1" ht="14.25" customHeight="1">
      <c r="B23" s="41" t="s">
        <v>231</v>
      </c>
      <c r="C23" s="20"/>
      <c r="D23" s="20"/>
      <c r="E23" s="21">
        <f>'[4]cashflow.'!$U$27</f>
        <v>8.91215000000011</v>
      </c>
      <c r="F23" s="21"/>
      <c r="G23" s="232">
        <v>0</v>
      </c>
      <c r="H23" s="21"/>
      <c r="I23" s="21">
        <v>-1189</v>
      </c>
      <c r="J23" s="21">
        <f>'CF12.09'!D30/1000</f>
        <v>1373.389</v>
      </c>
      <c r="K23" s="192"/>
      <c r="L23" s="19"/>
    </row>
    <row r="24" spans="2:12" s="51" customFormat="1" ht="14.25" customHeight="1">
      <c r="B24" s="41" t="s">
        <v>235</v>
      </c>
      <c r="C24" s="20"/>
      <c r="D24" s="20"/>
      <c r="E24" s="21">
        <f>'[4]cashflow.'!$U$28</f>
        <v>-230.72018999999818</v>
      </c>
      <c r="F24" s="21"/>
      <c r="G24" s="232">
        <f>'[6]Cashflow0613'!$C$24</f>
        <v>2350.102107030795</v>
      </c>
      <c r="H24" s="21"/>
      <c r="I24" s="21">
        <v>-1718</v>
      </c>
      <c r="J24" s="21">
        <f>'CF12.09'!D31/1000</f>
        <v>189.777</v>
      </c>
      <c r="K24" s="192"/>
      <c r="L24" s="19"/>
    </row>
    <row r="25" spans="2:12" s="51" customFormat="1" ht="14.25" customHeight="1">
      <c r="B25" s="196" t="s">
        <v>233</v>
      </c>
      <c r="C25" s="20"/>
      <c r="D25" s="20"/>
      <c r="E25" s="21"/>
      <c r="F25" s="21"/>
      <c r="G25" s="232">
        <f>'[5]Cashflow0313'!$C$25</f>
        <v>0</v>
      </c>
      <c r="H25" s="21"/>
      <c r="I25" s="21">
        <v>-151</v>
      </c>
      <c r="J25" s="21"/>
      <c r="K25" s="192"/>
      <c r="L25" s="19"/>
    </row>
    <row r="26" spans="2:12" s="51" customFormat="1" ht="15" thickBot="1">
      <c r="B26" s="40" t="s">
        <v>236</v>
      </c>
      <c r="C26" s="20"/>
      <c r="D26" s="20"/>
      <c r="E26" s="22">
        <f>'[4]cashflow.'!$U$29</f>
        <v>-780.1700500000002</v>
      </c>
      <c r="F26" s="28"/>
      <c r="G26" s="235">
        <v>0</v>
      </c>
      <c r="H26" s="28"/>
      <c r="I26" s="22">
        <v>-511</v>
      </c>
      <c r="J26" s="22">
        <f>'CF12.09'!D32/1000</f>
        <v>-271.731</v>
      </c>
      <c r="K26" s="192"/>
      <c r="L26" s="19"/>
    </row>
    <row r="27" spans="2:12" s="51" customFormat="1" ht="14.25">
      <c r="B27" s="197"/>
      <c r="C27" s="24"/>
      <c r="D27" s="24"/>
      <c r="E27" s="21"/>
      <c r="F27" s="21"/>
      <c r="G27" s="232"/>
      <c r="H27" s="21"/>
      <c r="I27" s="21"/>
      <c r="J27" s="21"/>
      <c r="K27" s="192"/>
      <c r="L27" s="19"/>
    </row>
    <row r="28" spans="2:12" s="51" customFormat="1" ht="14.25" customHeight="1">
      <c r="B28" s="195" t="s">
        <v>105</v>
      </c>
      <c r="C28" s="20"/>
      <c r="D28" s="20"/>
      <c r="E28" s="49">
        <f>'[4]cashflow.'!$U$32</f>
        <v>254.40860000000794</v>
      </c>
      <c r="F28" s="49"/>
      <c r="G28" s="234">
        <f>SUM(G19:G27)+G16</f>
        <v>1789.504516194956</v>
      </c>
      <c r="H28" s="21"/>
      <c r="I28" s="49">
        <f>SUM(I16:I26)</f>
        <v>9721</v>
      </c>
      <c r="J28" s="49">
        <f>'CF12.09'!D34/1000</f>
        <v>14657.121</v>
      </c>
      <c r="K28" s="192"/>
      <c r="L28" s="19"/>
    </row>
    <row r="29" spans="2:12" s="51" customFormat="1" ht="14.25" customHeight="1">
      <c r="B29" s="195"/>
      <c r="C29" s="20"/>
      <c r="D29" s="20"/>
      <c r="E29" s="49"/>
      <c r="F29" s="49"/>
      <c r="G29" s="228"/>
      <c r="H29" s="21"/>
      <c r="I29" s="49"/>
      <c r="J29" s="49"/>
      <c r="K29" s="192"/>
      <c r="L29" s="19"/>
    </row>
    <row r="30" spans="2:12" s="51" customFormat="1" ht="14.25" customHeight="1">
      <c r="B30" s="45" t="s">
        <v>9</v>
      </c>
      <c r="C30" s="18"/>
      <c r="D30" s="18"/>
      <c r="E30" s="21">
        <f>'[4]cashflow.'!$R$34</f>
        <v>-43</v>
      </c>
      <c r="F30" s="21"/>
      <c r="G30" s="232">
        <f>'[6]Cashflow0613'!$C$27</f>
        <v>-112.77533</v>
      </c>
      <c r="H30" s="21"/>
      <c r="I30" s="21">
        <v>-1766</v>
      </c>
      <c r="J30" s="21">
        <f>'CF12.09'!D36/1000</f>
        <v>-134.101</v>
      </c>
      <c r="K30" s="192"/>
      <c r="L30" s="19"/>
    </row>
    <row r="31" spans="2:12" s="51" customFormat="1" ht="14.25">
      <c r="B31" s="45" t="s">
        <v>70</v>
      </c>
      <c r="C31" s="18"/>
      <c r="D31" s="18"/>
      <c r="E31" s="21">
        <f>'[4]cashflow.'!$R$35</f>
        <v>-832</v>
      </c>
      <c r="F31" s="21"/>
      <c r="G31" s="232">
        <f>'[6]Cashflow0613'!$C$29</f>
        <v>-1005</v>
      </c>
      <c r="H31" s="28"/>
      <c r="I31" s="28">
        <v>-1451</v>
      </c>
      <c r="J31" s="21">
        <f>'CF12.09'!D37/1000</f>
        <v>-3491.456</v>
      </c>
      <c r="K31" s="192"/>
      <c r="L31" s="19"/>
    </row>
    <row r="32" spans="2:12" s="51" customFormat="1" ht="15" thickBot="1">
      <c r="B32" s="45"/>
      <c r="C32" s="18"/>
      <c r="D32" s="18"/>
      <c r="E32" s="22"/>
      <c r="F32" s="28"/>
      <c r="G32" s="235"/>
      <c r="H32" s="21"/>
      <c r="I32" s="22"/>
      <c r="J32" s="22"/>
      <c r="K32" s="192"/>
      <c r="L32" s="19"/>
    </row>
    <row r="33" spans="2:12" s="51" customFormat="1" ht="15.75" thickBot="1">
      <c r="B33" s="198" t="s">
        <v>44</v>
      </c>
      <c r="C33" s="18"/>
      <c r="D33" s="18"/>
      <c r="E33" s="50">
        <f>'[4]cashflow.'!$U$37</f>
        <v>-620.5913999999921</v>
      </c>
      <c r="F33" s="112"/>
      <c r="G33" s="236">
        <f>SUM(G28:G32)</f>
        <v>671.7291861949561</v>
      </c>
      <c r="H33" s="28"/>
      <c r="I33" s="50">
        <f>SUM(I28:I32)-1</f>
        <v>6503</v>
      </c>
      <c r="J33" s="157">
        <f>'CF12.09'!D39/1000</f>
        <v>11031.564</v>
      </c>
      <c r="K33" s="192"/>
      <c r="L33" s="19"/>
    </row>
    <row r="34" spans="2:12" s="51" customFormat="1" ht="14.25">
      <c r="B34" s="45"/>
      <c r="C34" s="18"/>
      <c r="D34" s="18"/>
      <c r="E34" s="102"/>
      <c r="F34" s="102"/>
      <c r="G34" s="229"/>
      <c r="H34" s="102"/>
      <c r="I34" s="102"/>
      <c r="J34" s="102"/>
      <c r="K34" s="192"/>
      <c r="L34" s="19"/>
    </row>
    <row r="35" spans="2:12" s="51" customFormat="1" ht="14.25">
      <c r="B35" s="45"/>
      <c r="C35" s="19"/>
      <c r="D35" s="19"/>
      <c r="E35" s="21"/>
      <c r="F35" s="21"/>
      <c r="G35" s="227"/>
      <c r="H35" s="21"/>
      <c r="I35" s="21"/>
      <c r="J35" s="21"/>
      <c r="K35" s="192"/>
      <c r="L35" s="19"/>
    </row>
    <row r="36" spans="2:12" s="51" customFormat="1" ht="15" customHeight="1">
      <c r="B36" s="198" t="s">
        <v>71</v>
      </c>
      <c r="C36" s="25"/>
      <c r="D36" s="25"/>
      <c r="E36" s="21"/>
      <c r="F36" s="21"/>
      <c r="G36" s="227"/>
      <c r="H36" s="21"/>
      <c r="I36" s="21"/>
      <c r="J36" s="21"/>
      <c r="K36" s="193"/>
      <c r="L36" s="19"/>
    </row>
    <row r="37" spans="2:12" s="51" customFormat="1" ht="14.25">
      <c r="B37" s="42" t="s">
        <v>72</v>
      </c>
      <c r="C37" s="18"/>
      <c r="D37" s="18"/>
      <c r="E37" s="21">
        <f>'[4]cashflow.'!$U$41+'[4]cashflow.'!$U$42</f>
        <v>146</v>
      </c>
      <c r="F37" s="21"/>
      <c r="G37" s="232">
        <f>'[6]Cashflow0613'!$C$36</f>
        <v>79.31141000000001</v>
      </c>
      <c r="H37" s="21"/>
      <c r="I37" s="21">
        <v>590</v>
      </c>
      <c r="J37" s="21">
        <f>'CF12.09'!D45/1000+'CF12.09'!D44/1000</f>
        <v>419.404</v>
      </c>
      <c r="K37" s="192"/>
      <c r="L37" s="19"/>
    </row>
    <row r="38" spans="2:12" s="51" customFormat="1" ht="14.25">
      <c r="B38" s="42" t="s">
        <v>90</v>
      </c>
      <c r="C38" s="19"/>
      <c r="D38" s="19"/>
      <c r="E38" s="21">
        <v>0</v>
      </c>
      <c r="F38" s="21"/>
      <c r="G38" s="232">
        <f>'[6]Cashflow0613'!$C$37</f>
        <v>2090.0843300000015</v>
      </c>
      <c r="H38" s="21"/>
      <c r="I38" s="21">
        <v>-489</v>
      </c>
      <c r="J38" s="21">
        <f>'CF12.09'!D46/1000</f>
        <v>-500.682</v>
      </c>
      <c r="K38" s="192"/>
      <c r="L38" s="19"/>
    </row>
    <row r="39" spans="2:12" s="51" customFormat="1" ht="14.25">
      <c r="B39" s="45" t="s">
        <v>73</v>
      </c>
      <c r="C39" s="19"/>
      <c r="D39" s="19"/>
      <c r="E39" s="21">
        <f>'[4]cashflow.'!$U$45</f>
        <v>-1142</v>
      </c>
      <c r="F39" s="21"/>
      <c r="G39" s="232">
        <f>'[6]Cashflow0613'!$C$38</f>
        <v>-5791.46975</v>
      </c>
      <c r="H39" s="21"/>
      <c r="I39" s="21">
        <v>-9777</v>
      </c>
      <c r="J39" s="21">
        <f>'CF12.09'!D47/1000</f>
        <v>-11636.454</v>
      </c>
      <c r="K39" s="192"/>
      <c r="L39" s="19"/>
    </row>
    <row r="40" spans="2:12" s="51" customFormat="1" ht="14.25">
      <c r="B40" s="45" t="s">
        <v>270</v>
      </c>
      <c r="C40" s="19"/>
      <c r="D40" s="19"/>
      <c r="E40" s="21"/>
      <c r="F40" s="21"/>
      <c r="G40" s="232">
        <v>0</v>
      </c>
      <c r="H40" s="21"/>
      <c r="I40" s="21">
        <v>63</v>
      </c>
      <c r="J40" s="21"/>
      <c r="K40" s="192"/>
      <c r="L40" s="19"/>
    </row>
    <row r="41" spans="2:12" s="51" customFormat="1" ht="14.25">
      <c r="B41" s="45" t="s">
        <v>272</v>
      </c>
      <c r="C41" s="19"/>
      <c r="D41" s="19"/>
      <c r="E41" s="21"/>
      <c r="F41" s="21"/>
      <c r="G41" s="232">
        <f>'[6]Cashflow0613'!$C$39</f>
        <v>5.00786</v>
      </c>
      <c r="H41" s="21"/>
      <c r="I41" s="21">
        <v>0</v>
      </c>
      <c r="J41" s="21"/>
      <c r="K41" s="192"/>
      <c r="L41" s="19"/>
    </row>
    <row r="42" spans="2:12" s="51" customFormat="1" ht="14.25">
      <c r="B42" s="45" t="s">
        <v>271</v>
      </c>
      <c r="C42" s="19"/>
      <c r="D42" s="19"/>
      <c r="E42" s="21"/>
      <c r="F42" s="21"/>
      <c r="G42" s="232">
        <v>0</v>
      </c>
      <c r="H42" s="21"/>
      <c r="I42" s="21">
        <v>-2289</v>
      </c>
      <c r="J42" s="21"/>
      <c r="K42" s="192"/>
      <c r="L42" s="19"/>
    </row>
    <row r="43" spans="2:12" s="51" customFormat="1" ht="14.25">
      <c r="B43" s="219" t="s">
        <v>259</v>
      </c>
      <c r="C43" s="19"/>
      <c r="D43" s="19"/>
      <c r="E43" s="21"/>
      <c r="F43" s="21"/>
      <c r="G43" s="232">
        <f>'[6]Cashflow0613'!$C$35+'[6]Cashflow0613'!$C$34</f>
        <v>140.183</v>
      </c>
      <c r="H43" s="21"/>
      <c r="I43" s="21">
        <v>167</v>
      </c>
      <c r="J43" s="21"/>
      <c r="K43" s="192"/>
      <c r="L43" s="19"/>
    </row>
    <row r="44" spans="2:12" s="51" customFormat="1" ht="15" thickBot="1">
      <c r="B44" s="45"/>
      <c r="C44" s="19"/>
      <c r="D44" s="19"/>
      <c r="E44" s="22"/>
      <c r="F44" s="28"/>
      <c r="G44" s="235"/>
      <c r="H44" s="28"/>
      <c r="I44" s="22"/>
      <c r="J44" s="22"/>
      <c r="K44" s="192"/>
      <c r="L44" s="19"/>
    </row>
    <row r="45" spans="2:13" s="51" customFormat="1" ht="15.75" thickBot="1">
      <c r="B45" s="45" t="s">
        <v>131</v>
      </c>
      <c r="C45" s="18"/>
      <c r="D45" s="18"/>
      <c r="E45" s="50">
        <f>'[4]cashflow.'!$U$48</f>
        <v>-996</v>
      </c>
      <c r="F45" s="112"/>
      <c r="G45" s="236">
        <f>SUM(G37:G44)</f>
        <v>-3476.8831499999987</v>
      </c>
      <c r="H45" s="28"/>
      <c r="I45" s="50">
        <f>SUM(I37:I44)</f>
        <v>-11735</v>
      </c>
      <c r="J45" s="50">
        <f>'CF12.09'!D49/1000</f>
        <v>3761.747</v>
      </c>
      <c r="K45" s="211"/>
      <c r="L45" s="19"/>
      <c r="M45" s="103"/>
    </row>
    <row r="46" spans="2:12" s="51" customFormat="1" ht="14.25">
      <c r="B46" s="197"/>
      <c r="C46" s="19"/>
      <c r="D46" s="19"/>
      <c r="E46" s="21"/>
      <c r="F46" s="21"/>
      <c r="G46" s="232"/>
      <c r="H46" s="21"/>
      <c r="I46" s="21"/>
      <c r="J46" s="21"/>
      <c r="K46" s="192"/>
      <c r="L46" s="19"/>
    </row>
    <row r="47" spans="2:12" s="51" customFormat="1" ht="15" customHeight="1">
      <c r="B47" s="198" t="s">
        <v>75</v>
      </c>
      <c r="C47" s="25"/>
      <c r="D47" s="25"/>
      <c r="E47" s="21"/>
      <c r="F47" s="21"/>
      <c r="G47" s="227"/>
      <c r="H47" s="21"/>
      <c r="I47" s="21"/>
      <c r="J47" s="21"/>
      <c r="K47" s="194"/>
      <c r="L47" s="18"/>
    </row>
    <row r="48" spans="2:12" s="51" customFormat="1" ht="14.25" customHeight="1" hidden="1">
      <c r="B48" s="196" t="s">
        <v>187</v>
      </c>
      <c r="C48" s="18"/>
      <c r="D48" s="18"/>
      <c r="E48" s="21">
        <v>0</v>
      </c>
      <c r="F48" s="21"/>
      <c r="G48" s="227">
        <v>0</v>
      </c>
      <c r="H48" s="21"/>
      <c r="I48" s="21">
        <v>0</v>
      </c>
      <c r="J48" s="21">
        <f>'CF12.09'!D53/1000</f>
        <v>13320</v>
      </c>
      <c r="K48" s="192"/>
      <c r="L48" s="19"/>
    </row>
    <row r="49" spans="2:12" s="51" customFormat="1" ht="14.25" customHeight="1" hidden="1">
      <c r="B49" s="196" t="s">
        <v>188</v>
      </c>
      <c r="C49" s="18"/>
      <c r="D49" s="18"/>
      <c r="E49" s="21">
        <f>'[4]cashflow.'!$U$55</f>
        <v>-161.806</v>
      </c>
      <c r="F49" s="21"/>
      <c r="G49" s="227">
        <v>0</v>
      </c>
      <c r="H49" s="21"/>
      <c r="I49" s="21">
        <v>0</v>
      </c>
      <c r="J49" s="21">
        <f>'CF12.09'!D54/1000</f>
        <v>1785.884</v>
      </c>
      <c r="K49" s="192"/>
      <c r="L49" s="19"/>
    </row>
    <row r="50" spans="2:12" s="51" customFormat="1" ht="14.25" customHeight="1">
      <c r="B50" s="196" t="s">
        <v>9</v>
      </c>
      <c r="C50" s="18"/>
      <c r="D50" s="18"/>
      <c r="E50" s="21">
        <f>'[4]cashflow.'!$U$53</f>
        <v>-15</v>
      </c>
      <c r="F50" s="21"/>
      <c r="G50" s="232">
        <f>'[6]Cashflow0613'!$C$47</f>
        <v>-624.3929699999999</v>
      </c>
      <c r="H50" s="21"/>
      <c r="I50" s="21">
        <v>-655</v>
      </c>
      <c r="J50" s="21">
        <f>'CF12.09'!D56/1000</f>
        <v>-26.016</v>
      </c>
      <c r="K50" s="192"/>
      <c r="L50" s="19"/>
    </row>
    <row r="51" spans="2:12" s="51" customFormat="1" ht="14.25" customHeight="1">
      <c r="B51" s="196" t="s">
        <v>77</v>
      </c>
      <c r="C51" s="18"/>
      <c r="D51" s="18"/>
      <c r="E51" s="21">
        <f>'[4]cashflow.'!$U$54</f>
        <v>-440</v>
      </c>
      <c r="F51" s="21"/>
      <c r="G51" s="232">
        <f>'[6]Cashflow0613'!$C$52</f>
        <v>-67</v>
      </c>
      <c r="H51" s="21"/>
      <c r="I51" s="21">
        <v>-57</v>
      </c>
      <c r="J51" s="21">
        <f>'CF12.09'!D57/1000</f>
        <v>-63.273</v>
      </c>
      <c r="K51" s="192"/>
      <c r="L51" s="19"/>
    </row>
    <row r="52" spans="2:12" s="51" customFormat="1" ht="14.25" customHeight="1">
      <c r="B52" s="196" t="s">
        <v>225</v>
      </c>
      <c r="C52" s="18"/>
      <c r="D52" s="18"/>
      <c r="E52" s="21">
        <f>'[4]cashflow.'!$U$51</f>
        <v>-1007.242</v>
      </c>
      <c r="F52" s="21"/>
      <c r="G52" s="232">
        <f>'[6]Cashflow0613'!$C$49</f>
        <v>-275</v>
      </c>
      <c r="H52" s="28"/>
      <c r="I52" s="28">
        <v>1159</v>
      </c>
      <c r="J52" s="21">
        <f>'CF12.09'!D60/1000</f>
        <v>-2812.839</v>
      </c>
      <c r="K52" s="192"/>
      <c r="L52" s="19"/>
    </row>
    <row r="53" spans="2:12" s="51" customFormat="1" ht="14.25" customHeight="1">
      <c r="B53" s="196" t="s">
        <v>226</v>
      </c>
      <c r="C53" s="18"/>
      <c r="D53" s="18"/>
      <c r="E53" s="21"/>
      <c r="F53" s="21"/>
      <c r="G53" s="232">
        <f>'[6]Cashflow0613'!$C$51</f>
        <v>-3355</v>
      </c>
      <c r="H53" s="28"/>
      <c r="I53" s="28">
        <v>-2405</v>
      </c>
      <c r="J53" s="21"/>
      <c r="K53" s="192"/>
      <c r="L53" s="19"/>
    </row>
    <row r="54" spans="2:12" s="51" customFormat="1" ht="14.25" customHeight="1">
      <c r="B54" s="196" t="s">
        <v>250</v>
      </c>
      <c r="C54" s="18"/>
      <c r="D54" s="18"/>
      <c r="E54" s="21"/>
      <c r="F54" s="21"/>
      <c r="G54" s="232">
        <f>'[6]Cashflow0613'!$C$44</f>
        <v>-32.1853</v>
      </c>
      <c r="H54" s="28"/>
      <c r="I54" s="28">
        <v>0</v>
      </c>
      <c r="J54" s="21"/>
      <c r="K54" s="192"/>
      <c r="L54" s="19"/>
    </row>
    <row r="55" spans="2:12" s="51" customFormat="1" ht="14.25" customHeight="1" thickBot="1">
      <c r="B55" s="221" t="s">
        <v>249</v>
      </c>
      <c r="C55" s="18"/>
      <c r="D55" s="18"/>
      <c r="E55" s="22"/>
      <c r="F55" s="28"/>
      <c r="G55" s="237">
        <f>'[6]Cashflow0613'!$C$46</f>
        <v>-1598</v>
      </c>
      <c r="H55" s="28"/>
      <c r="I55" s="28">
        <v>0</v>
      </c>
      <c r="J55" s="22"/>
      <c r="K55" s="192"/>
      <c r="L55" s="19"/>
    </row>
    <row r="56" spans="2:12" s="51" customFormat="1" ht="14.25" customHeight="1" thickBot="1">
      <c r="B56" s="221"/>
      <c r="C56" s="18"/>
      <c r="D56" s="18"/>
      <c r="E56" s="22"/>
      <c r="F56" s="28"/>
      <c r="G56" s="235"/>
      <c r="H56" s="28"/>
      <c r="I56" s="22"/>
      <c r="J56" s="22"/>
      <c r="K56" s="192"/>
      <c r="L56" s="19"/>
    </row>
    <row r="57" spans="3:12" s="51" customFormat="1" ht="18" customHeight="1" thickBot="1">
      <c r="C57" s="20"/>
      <c r="D57" s="20"/>
      <c r="E57" s="53">
        <f>'[4]cashflow.'!$U$63</f>
        <v>-1267.048</v>
      </c>
      <c r="F57" s="170"/>
      <c r="G57" s="238">
        <f>SUM(G48:G55)+1</f>
        <v>-5950.57827</v>
      </c>
      <c r="H57" s="28"/>
      <c r="I57" s="50">
        <f>SUM(I48:I55)</f>
        <v>-1958</v>
      </c>
      <c r="J57" s="50">
        <f>'CF12.09'!D63/1000</f>
        <v>4006.676</v>
      </c>
      <c r="K57" s="192"/>
      <c r="L57" s="19"/>
    </row>
    <row r="58" spans="2:12" s="51" customFormat="1" ht="14.25">
      <c r="B58" s="45"/>
      <c r="C58" s="18"/>
      <c r="D58" s="18"/>
      <c r="E58" s="102"/>
      <c r="F58" s="102"/>
      <c r="G58" s="229"/>
      <c r="H58" s="28"/>
      <c r="I58" s="28"/>
      <c r="J58" s="102"/>
      <c r="K58" s="192"/>
      <c r="L58" s="19"/>
    </row>
    <row r="59" spans="2:12" s="51" customFormat="1" ht="14.25" customHeight="1">
      <c r="B59" s="198" t="s">
        <v>140</v>
      </c>
      <c r="C59" s="18"/>
      <c r="D59" s="18"/>
      <c r="E59" s="21">
        <f>'[4]cashflow.'!$U$65</f>
        <v>-2883.639399999992</v>
      </c>
      <c r="F59" s="21"/>
      <c r="G59" s="232">
        <f>G33+G45+G57</f>
        <v>-8755.732233805044</v>
      </c>
      <c r="H59" s="28"/>
      <c r="I59" s="28">
        <f>I33+I45+I57</f>
        <v>-7190</v>
      </c>
      <c r="J59" s="21">
        <f>'CF12.09'!D65/1000</f>
        <v>18799.987</v>
      </c>
      <c r="K59" s="28"/>
      <c r="L59" s="19"/>
    </row>
    <row r="60" spans="2:12" s="51" customFormat="1" ht="14.25" customHeight="1">
      <c r="B60" s="198"/>
      <c r="C60" s="18"/>
      <c r="D60" s="18"/>
      <c r="E60" s="21"/>
      <c r="F60" s="21"/>
      <c r="G60" s="232"/>
      <c r="H60" s="28"/>
      <c r="I60" s="28"/>
      <c r="J60" s="21"/>
      <c r="K60" s="28"/>
      <c r="L60" s="19"/>
    </row>
    <row r="61" spans="2:12" s="51" customFormat="1" ht="14.25" customHeight="1">
      <c r="B61" s="198" t="s">
        <v>260</v>
      </c>
      <c r="C61" s="18"/>
      <c r="D61" s="18"/>
      <c r="E61" s="21"/>
      <c r="F61" s="21"/>
      <c r="G61" s="232">
        <f>'[6]Cashflow0613'!$C$58</f>
        <v>5.426444559994707</v>
      </c>
      <c r="H61" s="28"/>
      <c r="I61" s="28">
        <v>0</v>
      </c>
      <c r="J61" s="21"/>
      <c r="K61" s="28"/>
      <c r="L61" s="19"/>
    </row>
    <row r="62" spans="2:12" s="51" customFormat="1" ht="14.25">
      <c r="B62" s="196"/>
      <c r="C62" s="19"/>
      <c r="D62" s="19"/>
      <c r="E62" s="21"/>
      <c r="F62" s="21"/>
      <c r="G62" s="232"/>
      <c r="H62" s="28"/>
      <c r="I62" s="28"/>
      <c r="J62" s="21"/>
      <c r="K62" s="192"/>
      <c r="L62" s="19"/>
    </row>
    <row r="63" spans="2:12" s="51" customFormat="1" ht="14.25" customHeight="1" thickBot="1">
      <c r="B63" s="267" t="s">
        <v>100</v>
      </c>
      <c r="C63" s="20"/>
      <c r="D63" s="20"/>
      <c r="E63" s="22">
        <f>'[4]cashflow.'!$U$67</f>
        <v>18800</v>
      </c>
      <c r="F63" s="28"/>
      <c r="G63" s="235">
        <f>'[5]Cashflow0313'!$C$57</f>
        <v>11027.686000000003</v>
      </c>
      <c r="H63" s="28"/>
      <c r="I63" s="22">
        <v>32961</v>
      </c>
      <c r="J63" s="22">
        <f>'CF12.09'!D68/1000</f>
        <v>0.002</v>
      </c>
      <c r="K63" s="192"/>
      <c r="L63" s="19"/>
    </row>
    <row r="64" spans="2:12" s="51" customFormat="1" ht="14.25">
      <c r="B64" s="267"/>
      <c r="C64" s="20"/>
      <c r="D64" s="20"/>
      <c r="E64" s="102"/>
      <c r="F64" s="102"/>
      <c r="G64" s="239"/>
      <c r="H64" s="28"/>
      <c r="I64" s="28"/>
      <c r="J64" s="102"/>
      <c r="K64" s="192"/>
      <c r="L64" s="19"/>
    </row>
    <row r="65" spans="2:12" s="51" customFormat="1" ht="15.75" thickBot="1">
      <c r="B65" s="267" t="s">
        <v>132</v>
      </c>
      <c r="C65" s="20"/>
      <c r="D65" s="19"/>
      <c r="E65" s="111">
        <f>'[4]cashflow.'!$U$69</f>
        <v>15916.360600000007</v>
      </c>
      <c r="F65" s="112"/>
      <c r="G65" s="240">
        <f>SUM(G59:G63)</f>
        <v>2277.3802107549545</v>
      </c>
      <c r="H65" s="112"/>
      <c r="I65" s="111">
        <f>SUM(I59:I63)</f>
        <v>25771</v>
      </c>
      <c r="J65" s="111">
        <f>'CF12.09'!D70/1000</f>
        <v>18799.989</v>
      </c>
      <c r="K65" s="192"/>
      <c r="L65" s="19"/>
    </row>
    <row r="66" spans="2:11" s="51" customFormat="1" ht="15" thickTop="1">
      <c r="B66" s="267"/>
      <c r="G66" s="230"/>
      <c r="H66" s="28"/>
      <c r="I66" s="28"/>
      <c r="K66" s="181"/>
    </row>
    <row r="67" spans="2:11" s="51" customFormat="1" ht="14.25">
      <c r="B67" s="12"/>
      <c r="G67" s="230"/>
      <c r="H67" s="28"/>
      <c r="I67" s="28"/>
      <c r="K67" s="181"/>
    </row>
    <row r="68" spans="2:11" s="51" customFormat="1" ht="14.25">
      <c r="B68" s="2" t="s">
        <v>96</v>
      </c>
      <c r="G68" s="230"/>
      <c r="H68" s="28"/>
      <c r="I68" s="28"/>
      <c r="K68" s="181"/>
    </row>
    <row r="69" spans="2:11" s="51" customFormat="1" ht="14.25">
      <c r="B69" s="12" t="s">
        <v>244</v>
      </c>
      <c r="E69" s="102">
        <f>'[4]cashflow.'!$N$75</f>
        <v>29350</v>
      </c>
      <c r="F69" s="102"/>
      <c r="G69" s="239">
        <f>'[6]Cashflow0613'!$C$62</f>
        <v>7811</v>
      </c>
      <c r="H69" s="28"/>
      <c r="I69" s="28">
        <v>31451</v>
      </c>
      <c r="J69" s="21">
        <f>'CF12.09'!D83/1000+'CF12.09'!D85/1000</f>
        <v>28249.176</v>
      </c>
      <c r="K69" s="181"/>
    </row>
    <row r="70" spans="2:11" s="51" customFormat="1" ht="14.25">
      <c r="B70" s="12" t="s">
        <v>82</v>
      </c>
      <c r="E70" s="102">
        <f>'[4]cashflow.'!$N$76</f>
        <v>3944</v>
      </c>
      <c r="F70" s="102"/>
      <c r="G70" s="239">
        <f>'[6]Cashflow0613'!$C$63</f>
        <v>16318</v>
      </c>
      <c r="H70" s="28"/>
      <c r="I70" s="28">
        <v>10937</v>
      </c>
      <c r="J70" s="21">
        <f>'CF12.09'!D86/1000</f>
        <v>3199.333</v>
      </c>
      <c r="K70" s="181"/>
    </row>
    <row r="71" spans="2:11" s="51" customFormat="1" ht="15" thickBot="1">
      <c r="B71" s="12" t="s">
        <v>83</v>
      </c>
      <c r="E71" s="122">
        <f>'[4]cashflow.'!$N$77</f>
        <v>-8541</v>
      </c>
      <c r="F71" s="171"/>
      <c r="G71" s="241">
        <f>'[6]Cashflow0613'!$C$66</f>
        <v>-9086</v>
      </c>
      <c r="H71" s="54"/>
      <c r="I71" s="180">
        <v>-3669</v>
      </c>
      <c r="J71" s="22">
        <f>'CF12.09'!D87/1000</f>
        <v>-3959.186</v>
      </c>
      <c r="K71" s="181"/>
    </row>
    <row r="72" spans="2:11" s="51" customFormat="1" ht="14.25">
      <c r="B72" s="12"/>
      <c r="E72" s="102">
        <f>'[4]cashflow.'!$N$78</f>
        <v>24753</v>
      </c>
      <c r="F72" s="102"/>
      <c r="G72" s="239">
        <f>SUM(G69:G71)</f>
        <v>15043</v>
      </c>
      <c r="I72" s="102">
        <f>SUM(I69:I71)</f>
        <v>38719</v>
      </c>
      <c r="J72" s="21">
        <f>'CF12.09'!D89/1000</f>
        <v>27489.323</v>
      </c>
      <c r="K72" s="181"/>
    </row>
    <row r="73" spans="2:11" s="51" customFormat="1" ht="14.25">
      <c r="B73" s="43" t="s">
        <v>135</v>
      </c>
      <c r="C73" s="104"/>
      <c r="E73" s="102">
        <f>'[4]cashflow.'!$N$79</f>
        <v>-8843</v>
      </c>
      <c r="F73" s="102"/>
      <c r="G73" s="239">
        <f>'[6]Cashflow0613'!$C$67</f>
        <v>-12766</v>
      </c>
      <c r="I73" s="181">
        <v>-12948</v>
      </c>
      <c r="J73" s="21">
        <f>'CF12.09'!D91/1000</f>
        <v>-8689.334</v>
      </c>
      <c r="K73" s="181"/>
    </row>
    <row r="74" spans="2:11" s="51" customFormat="1" ht="15.75" thickBot="1">
      <c r="B74" s="12"/>
      <c r="E74" s="113">
        <f>'[4]cashflow.'!$N$80</f>
        <v>15910</v>
      </c>
      <c r="F74" s="172"/>
      <c r="G74" s="242">
        <f>SUM(G72:G73)</f>
        <v>2277</v>
      </c>
      <c r="H74" s="112"/>
      <c r="I74" s="179">
        <f>SUM(I72:I73)</f>
        <v>25771</v>
      </c>
      <c r="J74" s="167">
        <f>'CF12.09'!D93/1000</f>
        <v>18799.989</v>
      </c>
      <c r="K74" s="181"/>
    </row>
    <row r="75" spans="7:11" s="51" customFormat="1" ht="15" thickTop="1">
      <c r="G75" s="231"/>
      <c r="H75" s="28"/>
      <c r="I75" s="28"/>
      <c r="K75" s="181"/>
    </row>
    <row r="76" spans="2:9" s="51" customFormat="1" ht="14.25" hidden="1">
      <c r="B76" s="51" t="s">
        <v>123</v>
      </c>
      <c r="E76" s="103"/>
      <c r="F76" s="103"/>
      <c r="G76" s="191"/>
      <c r="H76" s="28"/>
      <c r="I76" s="28"/>
    </row>
    <row r="77" s="51" customFormat="1" ht="12.75" customHeight="1">
      <c r="G77" s="187"/>
    </row>
    <row r="78" spans="2:7" s="51" customFormat="1" ht="16.5">
      <c r="B78" s="123" t="s">
        <v>220</v>
      </c>
      <c r="G78" s="187"/>
    </row>
    <row r="79" spans="2:7" s="51" customFormat="1" ht="16.5">
      <c r="B79" s="123" t="s">
        <v>257</v>
      </c>
      <c r="G79" s="187"/>
    </row>
    <row r="80" spans="2:7" s="51" customFormat="1" ht="16.5">
      <c r="B80" s="178" t="s">
        <v>99</v>
      </c>
      <c r="G80" s="187"/>
    </row>
  </sheetData>
  <sheetProtection/>
  <mergeCells count="6">
    <mergeCell ref="B63:B64"/>
    <mergeCell ref="B65:B66"/>
    <mergeCell ref="E5:E8"/>
    <mergeCell ref="J5:J8"/>
    <mergeCell ref="G5:G8"/>
    <mergeCell ref="I5:I8"/>
  </mergeCells>
  <printOptions/>
  <pageMargins left="0.52" right="0.17" top="0.22" bottom="0.16" header="0.17" footer="0.16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 Kwong Yokohama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TKYB</dc:creator>
  <cp:keywords/>
  <dc:description/>
  <cp:lastModifiedBy>Shazarina Shafiee</cp:lastModifiedBy>
  <cp:lastPrinted>2014-02-28T03:28:07Z</cp:lastPrinted>
  <dcterms:created xsi:type="dcterms:W3CDTF">2002-11-05T00:02:16Z</dcterms:created>
  <dcterms:modified xsi:type="dcterms:W3CDTF">2014-02-28T03:33:46Z</dcterms:modified>
  <cp:category/>
  <cp:version/>
  <cp:contentType/>
  <cp:contentStatus/>
</cp:coreProperties>
</file>